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B8A9D806-D0C6-43B5-B1C6-218FD1B40AA9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schemat" sheetId="1" r:id="rId1"/>
    <sheet name="Analiza ekonomiczna" sheetId="2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11" i="2" l="1"/>
  <c r="E111" i="2"/>
  <c r="F98" i="2"/>
  <c r="E98" i="2"/>
  <c r="E116" i="2" s="1"/>
  <c r="F56" i="2"/>
  <c r="F58" i="2" s="1"/>
  <c r="E56" i="2"/>
  <c r="E58" i="2" s="1"/>
  <c r="F127" i="2"/>
  <c r="F120" i="2"/>
  <c r="E120" i="2"/>
  <c r="F92" i="2"/>
  <c r="E92" i="2"/>
  <c r="F83" i="2"/>
  <c r="E83" i="2"/>
  <c r="F40" i="2"/>
  <c r="F54" i="2" s="1"/>
  <c r="E40" i="2"/>
  <c r="E54" i="2" s="1"/>
  <c r="H34" i="2"/>
  <c r="I34" i="2" s="1"/>
  <c r="F33" i="2"/>
  <c r="E33" i="2"/>
  <c r="F24" i="2"/>
  <c r="E24" i="2"/>
  <c r="F23" i="2"/>
  <c r="F82" i="2" s="1"/>
  <c r="E23" i="2"/>
  <c r="E82" i="2" s="1"/>
  <c r="F22" i="2"/>
  <c r="F81" i="2" s="1"/>
  <c r="E22" i="2"/>
  <c r="E81" i="2" s="1"/>
  <c r="F19" i="2"/>
  <c r="F13" i="2"/>
  <c r="E13" i="2"/>
  <c r="E19" i="2" s="1"/>
  <c r="E11" i="2"/>
  <c r="F9" i="2"/>
  <c r="F11" i="2" s="1"/>
  <c r="E9" i="2"/>
  <c r="I4" i="2"/>
  <c r="F26" i="2" l="1"/>
  <c r="F104" i="2"/>
  <c r="E84" i="2"/>
  <c r="E26" i="2"/>
  <c r="E28" i="2" s="1"/>
  <c r="E104" i="2"/>
  <c r="F84" i="2"/>
  <c r="F28" i="2" s="1"/>
  <c r="F115" i="2" s="1"/>
  <c r="E127" i="2"/>
  <c r="E115" i="2" l="1"/>
  <c r="F116" i="2"/>
  <c r="F117" i="2" s="1"/>
  <c r="F121" i="2" s="1"/>
  <c r="E117" i="2" l="1"/>
  <c r="E121" i="2" s="1"/>
  <c r="E128" i="2" s="1"/>
  <c r="F128" i="2"/>
  <c r="F125" i="2"/>
  <c r="E139" i="2" l="1"/>
  <c r="E125" i="2"/>
  <c r="F129" i="2"/>
  <c r="F130" i="2" s="1"/>
  <c r="F131" i="2" s="1"/>
  <c r="F132" i="2" s="1"/>
  <c r="F133" i="2" s="1"/>
  <c r="F134" i="2" s="1"/>
  <c r="F135" i="2" s="1"/>
  <c r="F136" i="2" s="1"/>
  <c r="F137" i="2" s="1"/>
  <c r="E129" i="2"/>
  <c r="E130" i="2" s="1"/>
  <c r="E131" i="2" s="1"/>
  <c r="E132" i="2" s="1"/>
  <c r="E133" i="2" s="1"/>
  <c r="E134" i="2" s="1"/>
  <c r="E135" i="2" s="1"/>
  <c r="E136" i="2" s="1"/>
  <c r="E137" i="2" s="1"/>
  <c r="F138" i="2" l="1"/>
  <c r="F139" i="2"/>
  <c r="E138" i="2"/>
</calcChain>
</file>

<file path=xl/sharedStrings.xml><?xml version="1.0" encoding="utf-8"?>
<sst xmlns="http://schemas.openxmlformats.org/spreadsheetml/2006/main" count="296" uniqueCount="194">
  <si>
    <t>bioLNG</t>
  </si>
  <si>
    <t>bioCO2</t>
  </si>
  <si>
    <t>Osady ściekowe/ odpady płynne</t>
  </si>
  <si>
    <t>Zbiornik przyjęciowy</t>
  </si>
  <si>
    <t>Uzdatnianie biogazu</t>
  </si>
  <si>
    <t>Zbiornik pofermentatu</t>
  </si>
  <si>
    <t>Komory fermentacyje</t>
  </si>
  <si>
    <t>Odpady czyste/rolnicze</t>
  </si>
  <si>
    <t>Zasobnik podający</t>
  </si>
  <si>
    <t>Zbiornik destylatu</t>
  </si>
  <si>
    <t>Zbiornik buforowy II/ schładzający</t>
  </si>
  <si>
    <t>Wstępna analiza ekonomiczna dla analizowanych wariantów</t>
  </si>
  <si>
    <t>wejście</t>
  </si>
  <si>
    <t>Pozycja kosztowa/przychodowa</t>
  </si>
  <si>
    <t>Jednostka</t>
  </si>
  <si>
    <t>W1</t>
  </si>
  <si>
    <t>wsad</t>
  </si>
  <si>
    <t>WYNAGRODZENIA</t>
  </si>
  <si>
    <t>zanieczyszczenia</t>
  </si>
  <si>
    <t>Etaty- pracownicy fizyczni</t>
  </si>
  <si>
    <t>osoba</t>
  </si>
  <si>
    <t>Wynagrodzenia pracownika fizycznego</t>
  </si>
  <si>
    <t>zł/os/mies</t>
  </si>
  <si>
    <t>Etaty-pracownicy umysłowi</t>
  </si>
  <si>
    <t>osoby</t>
  </si>
  <si>
    <t>Wynagrodzenia pracownika umysłowego</t>
  </si>
  <si>
    <t>Roczne koszty wynagrodzenia</t>
  </si>
  <si>
    <t>Narzuty</t>
  </si>
  <si>
    <t>%</t>
  </si>
  <si>
    <t>Koszty osobowe</t>
  </si>
  <si>
    <t>zł</t>
  </si>
  <si>
    <t>PALIWO DO POJAZDÓW (1 ładowarka )</t>
  </si>
  <si>
    <t>Roczne zużycie ON</t>
  </si>
  <si>
    <t>dm3</t>
  </si>
  <si>
    <t>Cena zakupu ON</t>
  </si>
  <si>
    <t>zł/dm3</t>
  </si>
  <si>
    <t>Koszty zakupu paliwa</t>
  </si>
  <si>
    <t>REAGENTY DO PROCESU</t>
  </si>
  <si>
    <t>Ilość reagentu</t>
  </si>
  <si>
    <t>kg</t>
  </si>
  <si>
    <t xml:space="preserve">Cena zakupu </t>
  </si>
  <si>
    <t>zł/kg</t>
  </si>
  <si>
    <t>Koszty regentów procesowych</t>
  </si>
  <si>
    <t>ZUŻYCIE WODY</t>
  </si>
  <si>
    <t>Zużycie na cele socjalne</t>
  </si>
  <si>
    <t>l/os/dzien</t>
  </si>
  <si>
    <t>Zużycie wody cele socjalne</t>
  </si>
  <si>
    <t>m3/rok</t>
  </si>
  <si>
    <t>Zużycie wody biofiltr</t>
  </si>
  <si>
    <t>Zużycie woda fermentacja</t>
  </si>
  <si>
    <t>Zużycie wody sprzątanie</t>
  </si>
  <si>
    <t>Zużycie wody łącznie</t>
  </si>
  <si>
    <t>Koszt zakupu wody</t>
  </si>
  <si>
    <t>zł/m3</t>
  </si>
  <si>
    <t>Koszty mediów</t>
  </si>
  <si>
    <t>WYTWARZANIE BIOGAZU I ENERGII</t>
  </si>
  <si>
    <t>Uzysk biogazu</t>
  </si>
  <si>
    <t>m3/Mg</t>
  </si>
  <si>
    <t>Ilość wsadu do reaktora</t>
  </si>
  <si>
    <t>Mg/rok</t>
  </si>
  <si>
    <t>Efektywny czas fermentacji</t>
  </si>
  <si>
    <t>Produkcja biogazu</t>
  </si>
  <si>
    <t>m3</t>
  </si>
  <si>
    <t>Potencjalna produkcja energii elektr</t>
  </si>
  <si>
    <t>MWh/rok</t>
  </si>
  <si>
    <t>Potencjalna produkcja energii cieplnej</t>
  </si>
  <si>
    <t xml:space="preserve"> ENERGIA ELEKTRYCZNA</t>
  </si>
  <si>
    <t>Hala (elektryka hali, oświetlenie, ogrzewanie,…)</t>
  </si>
  <si>
    <t>Komora fermentacyjna</t>
  </si>
  <si>
    <t>Biofiltr i płuczka</t>
  </si>
  <si>
    <t>Układ oczyszczania biogazu</t>
  </si>
  <si>
    <t>Zbiornik na odcieki</t>
  </si>
  <si>
    <t>Odwadnianie</t>
  </si>
  <si>
    <t>SCADA</t>
  </si>
  <si>
    <t>Pozostałe (sieci, drogi, place) - oświetlenie</t>
  </si>
  <si>
    <t>ŁĄCZNE ZUŻYCIE EE INSTALACJA</t>
  </si>
  <si>
    <t>Koszt zakupu EE</t>
  </si>
  <si>
    <t>Bilans EE (nadmiar na sprzedaż)</t>
  </si>
  <si>
    <t>Cena sprzedaży EE</t>
  </si>
  <si>
    <t>Przychód ze sprzedaży EE</t>
  </si>
  <si>
    <t xml:space="preserve"> ENERGIA CIEPLNA</t>
  </si>
  <si>
    <t>Zużycie ciepła fermenter</t>
  </si>
  <si>
    <t>zł/MWh</t>
  </si>
  <si>
    <t>UZDATNIANIE BIOGAZU</t>
  </si>
  <si>
    <t>Zakup węgla aktywnego</t>
  </si>
  <si>
    <t>Mg</t>
  </si>
  <si>
    <t>Cena zakupu</t>
  </si>
  <si>
    <t>zł/Mg</t>
  </si>
  <si>
    <t>Koszt wymiany węgla</t>
  </si>
  <si>
    <t>OCZYSZCZANIE POWIETRZA</t>
  </si>
  <si>
    <t>Zakup kwasu do płuczki</t>
  </si>
  <si>
    <t>Koszt zakupu kwasu</t>
  </si>
  <si>
    <t>ŚCIEKI</t>
  </si>
  <si>
    <t>Scieki socjalno-bytowe</t>
  </si>
  <si>
    <t>Ścieki biofiltr</t>
  </si>
  <si>
    <t>Ścieki sprzątanie</t>
  </si>
  <si>
    <t>Ścieki łącznie do oczyszczalni</t>
  </si>
  <si>
    <t>Koszt odprowadzenia ścieku</t>
  </si>
  <si>
    <t>Łączny koszt odprowadzenia ścieków</t>
  </si>
  <si>
    <t>SPRZEDAŻ NAWOZU</t>
  </si>
  <si>
    <t>Ilość nawóz płynny</t>
  </si>
  <si>
    <t>Ilość kompost</t>
  </si>
  <si>
    <t>Łącznie nawóz</t>
  </si>
  <si>
    <t>Cena sprzedaży</t>
  </si>
  <si>
    <t>Przychód ze sprzedaży nawozu</t>
  </si>
  <si>
    <t>Przychód ze sprzedaży</t>
  </si>
  <si>
    <t>KOSZTY INNE</t>
  </si>
  <si>
    <t>Ubezpieczenie (0,3%)</t>
  </si>
  <si>
    <t>Podatki (2% budowli)</t>
  </si>
  <si>
    <t>Amortyzacja- budynki 2,5%</t>
  </si>
  <si>
    <t>Amortyzacja wyposażenie - 10%</t>
  </si>
  <si>
    <t>Koszty ubezpieczenia i amortyzacji</t>
  </si>
  <si>
    <t>KOSZTY ZAGOSPODAROWANIA POZOSTAŁOŚCI</t>
  </si>
  <si>
    <t>Koszt zagospodarowania</t>
  </si>
  <si>
    <t>Łączny koszt zagospodarowania</t>
  </si>
  <si>
    <t>SERWISY I CZĘŚCI</t>
  </si>
  <si>
    <t>Technologia bez odwadniania i CHP (5% wartości na rok)</t>
  </si>
  <si>
    <t>Technologia- odwadnianie i CHP (15% wartości na rok)</t>
  </si>
  <si>
    <t>KOSZTY EKSPLOATACYJNE</t>
  </si>
  <si>
    <t>PRZYCHODY EKSPLOATACYJNE</t>
  </si>
  <si>
    <t>BILANS</t>
  </si>
  <si>
    <t>ILOŚĆ PRZYJĘTYCH ODPADÓW</t>
  </si>
  <si>
    <t>CENA PRZYJĘCIA NA BRAMIE</t>
  </si>
  <si>
    <t>PRZYCHODY Z PRZYJĘCIA</t>
  </si>
  <si>
    <t>BILANS ŁĄCZNIE</t>
  </si>
  <si>
    <t>Koszt inwestycji</t>
  </si>
  <si>
    <t>Okres zwrotu</t>
  </si>
  <si>
    <t>lata</t>
  </si>
  <si>
    <t>Stopa dyskontowa</t>
  </si>
  <si>
    <t>jedn.</t>
  </si>
  <si>
    <t>Cash flow</t>
  </si>
  <si>
    <t>0 rok</t>
  </si>
  <si>
    <t>1 rok</t>
  </si>
  <si>
    <t>2 rok</t>
  </si>
  <si>
    <t>3 rok</t>
  </si>
  <si>
    <t>4 rok</t>
  </si>
  <si>
    <t>5 rok</t>
  </si>
  <si>
    <t>6 rok</t>
  </si>
  <si>
    <t>7 rok</t>
  </si>
  <si>
    <t>8 rok</t>
  </si>
  <si>
    <t>9 rok</t>
  </si>
  <si>
    <t xml:space="preserve"> </t>
  </si>
  <si>
    <t>10 rok</t>
  </si>
  <si>
    <t>Wewnętrzna stopa zwrotu 10 L (IRR)</t>
  </si>
  <si>
    <t>Wartość bieżąca netto 10 L (NPV)</t>
  </si>
  <si>
    <t>W2</t>
  </si>
  <si>
    <t xml:space="preserve">Zbiornik biogazu </t>
  </si>
  <si>
    <t>Linia technologiczna I do przygotowania odpadów do fermentacji</t>
  </si>
  <si>
    <t xml:space="preserve">Linia technologiczna II </t>
  </si>
  <si>
    <t>Linia technologiczna III</t>
  </si>
  <si>
    <t>Zakup EE z sieci</t>
  </si>
  <si>
    <t>Pokrycie zapotrzebowania na EE z sieci</t>
  </si>
  <si>
    <t>Cena EE</t>
  </si>
  <si>
    <t>Potencjalna produkcja bioLNG</t>
  </si>
  <si>
    <t>Potencjalna produkcja CO2</t>
  </si>
  <si>
    <t>kg/rok</t>
  </si>
  <si>
    <t>Zużycie ciepła UPPZ kat.2</t>
  </si>
  <si>
    <t>Zużycie ciepła UPPZ kat.3</t>
  </si>
  <si>
    <t>Zużycie ciepła inne</t>
  </si>
  <si>
    <t>Zapotrzebowanie na ciepło</t>
  </si>
  <si>
    <t>Zapotrzebowanie na biogaz na ciepło</t>
  </si>
  <si>
    <t>SPRZEDAŻ PRODUKTÓW</t>
  </si>
  <si>
    <t>preRDF z przygotowania/depaku</t>
  </si>
  <si>
    <t>odrzuty lekkie</t>
  </si>
  <si>
    <t>odrzuty ciężkie</t>
  </si>
  <si>
    <t>odruty drobne</t>
  </si>
  <si>
    <t>UPPZ płynne kat 3</t>
  </si>
  <si>
    <t>Macerator</t>
  </si>
  <si>
    <t>UPPZ stałe kat 3</t>
  </si>
  <si>
    <t>Rozdrabniacz wstępny</t>
  </si>
  <si>
    <t>Mulda przyjęciowa</t>
  </si>
  <si>
    <t xml:space="preserve">Układ pasteryzacji 
</t>
  </si>
  <si>
    <t xml:space="preserve">Zbiornik buforowy
</t>
  </si>
  <si>
    <t>UPPZ płynne kat 2</t>
  </si>
  <si>
    <t xml:space="preserve">Układ sterylizacji
</t>
  </si>
  <si>
    <t>Poferment stały</t>
  </si>
  <si>
    <t>Separator frakcji stałej pofermentatu</t>
  </si>
  <si>
    <t>Linia waloryzacji pofermentatu</t>
  </si>
  <si>
    <t>Zbiornik na nawóz</t>
  </si>
  <si>
    <t>bio-LNG</t>
  </si>
  <si>
    <t>bio-CO2</t>
  </si>
  <si>
    <t>do 75 000 Mg/rok</t>
  </si>
  <si>
    <t>UPPZ stałe kat. 2</t>
  </si>
  <si>
    <t>Odbiorca zewntętrzny</t>
  </si>
  <si>
    <t>do 100 000 Mg/rok</t>
  </si>
  <si>
    <t xml:space="preserve">Emisje do powietrza </t>
  </si>
  <si>
    <t>z hali przetwarzania odpadów</t>
  </si>
  <si>
    <t>(obiekt 12)</t>
  </si>
  <si>
    <t>po oczyszczeniu na obiekcie 2</t>
  </si>
  <si>
    <t>Kocioł biogazu</t>
  </si>
  <si>
    <t>Pochodnia 
awaryjna</t>
  </si>
  <si>
    <t>biogaz</t>
  </si>
  <si>
    <t>pozostałości</t>
  </si>
  <si>
    <t>pofermentacyjne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</si>
</sst>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#,##0.00\ &quot;zł&quot;;[Red]\-#,##0.00\ &quot;zł&quot;"/>
    <numFmt numFmtId="44" formatCode="_-* #,##0.00\ &quot;zł&quot;_-;\-* #,##0.00\ &quot;zł&quot;_-;_-* &quot;-&quot;??\ &quot;zł&quot;_-;_-@_-"/>
    <numFmt numFmtId="43" formatCode="_-* #,##0.00_-;\-* #,##0.00_-;_-* &quot;-&quot;??_-;_-@_-"/>
    <numFmt numFmtId="164" formatCode="_-* #,##0.0_-;\-* #,##0.0_-;_-* &quot;-&quot;??_-;_-@_-"/>
    <numFmt numFmtId="165" formatCode="0.0"/>
  </numFmts>
  <fonts count="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12"/>
      <color theme="1"/>
      <name val="Calibri"/>
      <family val="2"/>
      <charset val="238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3" tint="0.79998168889431442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Dashed">
        <color rgb="FFC00000"/>
      </left>
      <right/>
      <top style="mediumDashed">
        <color rgb="FFC00000"/>
      </top>
      <bottom/>
      <diagonal/>
    </border>
    <border>
      <left/>
      <right/>
      <top style="mediumDashed">
        <color rgb="FFC00000"/>
      </top>
      <bottom/>
      <diagonal/>
    </border>
    <border>
      <left/>
      <right style="mediumDashed">
        <color rgb="FFC00000"/>
      </right>
      <top style="mediumDashed">
        <color rgb="FFC00000"/>
      </top>
      <bottom/>
      <diagonal/>
    </border>
    <border>
      <left style="mediumDashed">
        <color rgb="FFC00000"/>
      </left>
      <right/>
      <top/>
      <bottom/>
      <diagonal/>
    </border>
    <border>
      <left/>
      <right style="mediumDashed">
        <color rgb="FFC00000"/>
      </right>
      <top/>
      <bottom/>
      <diagonal/>
    </border>
    <border>
      <left style="mediumDashed">
        <color rgb="FFC00000"/>
      </left>
      <right/>
      <top/>
      <bottom style="mediumDashed">
        <color rgb="FFC00000"/>
      </bottom>
      <diagonal/>
    </border>
    <border>
      <left/>
      <right/>
      <top/>
      <bottom style="mediumDashed">
        <color rgb="FFC00000"/>
      </bottom>
      <diagonal/>
    </border>
    <border>
      <left/>
      <right style="mediumDashed">
        <color rgb="FFC00000"/>
      </right>
      <top/>
      <bottom style="mediumDashed">
        <color rgb="FFC00000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92">
    <xf numFmtId="0" fontId="0" fillId="0" borderId="0" xfId="0"/>
    <xf numFmtId="0" fontId="3" fillId="0" borderId="0" xfId="3"/>
    <xf numFmtId="0" fontId="3" fillId="0" borderId="0" xfId="3" applyAlignment="1">
      <alignment horizontal="center"/>
    </xf>
    <xf numFmtId="0" fontId="3" fillId="0" borderId="0" xfId="3" applyAlignment="1">
      <alignment vertical="center" textRotation="90"/>
    </xf>
    <xf numFmtId="10" fontId="0" fillId="0" borderId="0" xfId="4" applyNumberFormat="1" applyFont="1" applyAlignment="1">
      <alignment horizontal="center"/>
    </xf>
    <xf numFmtId="0" fontId="4" fillId="4" borderId="0" xfId="3" applyFont="1" applyFill="1"/>
    <xf numFmtId="0" fontId="3" fillId="4" borderId="0" xfId="3" applyFill="1"/>
    <xf numFmtId="2" fontId="3" fillId="0" borderId="0" xfId="3" applyNumberFormat="1" applyAlignment="1">
      <alignment horizontal="center"/>
    </xf>
    <xf numFmtId="0" fontId="4" fillId="0" borderId="0" xfId="3" applyFont="1" applyAlignment="1">
      <alignment horizontal="center"/>
    </xf>
    <xf numFmtId="164" fontId="0" fillId="0" borderId="0" xfId="5" applyNumberFormat="1" applyFont="1" applyAlignment="1">
      <alignment horizontal="center"/>
    </xf>
    <xf numFmtId="0" fontId="3" fillId="0" borderId="0" xfId="3" applyAlignment="1">
      <alignment horizontal="left" wrapText="1"/>
    </xf>
    <xf numFmtId="0" fontId="3" fillId="0" borderId="0" xfId="3" applyAlignment="1">
      <alignment wrapText="1"/>
    </xf>
    <xf numFmtId="0" fontId="2" fillId="0" borderId="0" xfId="0" applyFont="1" applyAlignment="1">
      <alignment horizontal="center" wrapText="1"/>
    </xf>
    <xf numFmtId="0" fontId="2" fillId="0" borderId="7" xfId="0" applyFont="1" applyBorder="1"/>
    <xf numFmtId="0" fontId="2" fillId="0" borderId="0" xfId="0" applyFont="1"/>
    <xf numFmtId="0" fontId="0" fillId="11" borderId="8" xfId="0" applyFill="1" applyBorder="1"/>
    <xf numFmtId="0" fontId="0" fillId="11" borderId="0" xfId="0" applyFill="1"/>
    <xf numFmtId="0" fontId="0" fillId="0" borderId="7" xfId="0" applyBorder="1"/>
    <xf numFmtId="44" fontId="0" fillId="0" borderId="7" xfId="1" applyFont="1" applyBorder="1"/>
    <xf numFmtId="0" fontId="0" fillId="12" borderId="7" xfId="0" applyFill="1" applyBorder="1"/>
    <xf numFmtId="44" fontId="0" fillId="12" borderId="7" xfId="1" applyFont="1" applyFill="1" applyBorder="1"/>
    <xf numFmtId="0" fontId="0" fillId="11" borderId="9" xfId="0" applyFill="1" applyBorder="1"/>
    <xf numFmtId="0" fontId="0" fillId="2" borderId="0" xfId="0" applyFill="1" applyAlignment="1">
      <alignment horizontal="center"/>
    </xf>
    <xf numFmtId="0" fontId="0" fillId="2" borderId="0" xfId="0" applyFill="1"/>
    <xf numFmtId="1" fontId="0" fillId="0" borderId="7" xfId="0" applyNumberFormat="1" applyBorder="1"/>
    <xf numFmtId="9" fontId="0" fillId="0" borderId="7" xfId="0" applyNumberFormat="1" applyBorder="1"/>
    <xf numFmtId="9" fontId="0" fillId="0" borderId="0" xfId="2" applyFont="1"/>
    <xf numFmtId="2" fontId="0" fillId="0" borderId="7" xfId="0" applyNumberFormat="1" applyBorder="1"/>
    <xf numFmtId="0" fontId="0" fillId="11" borderId="7" xfId="0" applyFill="1" applyBorder="1"/>
    <xf numFmtId="0" fontId="0" fillId="0" borderId="7" xfId="0" applyBorder="1" applyAlignment="1">
      <alignment vertical="center" wrapText="1"/>
    </xf>
    <xf numFmtId="165" fontId="0" fillId="0" borderId="7" xfId="0" applyNumberFormat="1" applyBorder="1"/>
    <xf numFmtId="0" fontId="0" fillId="0" borderId="7" xfId="0" applyBorder="1" applyAlignment="1">
      <alignment vertical="center"/>
    </xf>
    <xf numFmtId="0" fontId="0" fillId="13" borderId="7" xfId="0" applyFill="1" applyBorder="1"/>
    <xf numFmtId="165" fontId="2" fillId="13" borderId="7" xfId="0" applyNumberFormat="1" applyFont="1" applyFill="1" applyBorder="1"/>
    <xf numFmtId="44" fontId="2" fillId="12" borderId="7" xfId="1" applyFont="1" applyFill="1" applyBorder="1"/>
    <xf numFmtId="0" fontId="0" fillId="14" borderId="7" xfId="0" applyFill="1" applyBorder="1"/>
    <xf numFmtId="165" fontId="0" fillId="14" borderId="7" xfId="0" applyNumberFormat="1" applyFill="1" applyBorder="1"/>
    <xf numFmtId="44" fontId="2" fillId="14" borderId="7" xfId="1" applyFont="1" applyFill="1" applyBorder="1"/>
    <xf numFmtId="0" fontId="0" fillId="11" borderId="12" xfId="0" applyFill="1" applyBorder="1"/>
    <xf numFmtId="1" fontId="2" fillId="0" borderId="7" xfId="0" applyNumberFormat="1" applyFont="1" applyBorder="1"/>
    <xf numFmtId="44" fontId="0" fillId="0" borderId="7" xfId="1" applyFont="1" applyFill="1" applyBorder="1"/>
    <xf numFmtId="0" fontId="0" fillId="12" borderId="9" xfId="0" applyFill="1" applyBorder="1"/>
    <xf numFmtId="1" fontId="0" fillId="12" borderId="7" xfId="0" applyNumberFormat="1" applyFill="1" applyBorder="1"/>
    <xf numFmtId="0" fontId="5" fillId="0" borderId="0" xfId="0" applyFont="1"/>
    <xf numFmtId="0" fontId="0" fillId="0" borderId="7" xfId="0" applyBorder="1" applyAlignment="1">
      <alignment wrapText="1"/>
    </xf>
    <xf numFmtId="0" fontId="0" fillId="0" borderId="12" xfId="0" applyBorder="1" applyAlignment="1">
      <alignment wrapText="1"/>
    </xf>
    <xf numFmtId="0" fontId="0" fillId="0" borderId="12" xfId="0" applyBorder="1"/>
    <xf numFmtId="44" fontId="0" fillId="0" borderId="12" xfId="1" applyFont="1" applyFill="1" applyBorder="1"/>
    <xf numFmtId="0" fontId="2" fillId="0" borderId="14" xfId="0" applyFont="1" applyBorder="1"/>
    <xf numFmtId="0" fontId="0" fillId="0" borderId="15" xfId="0" applyBorder="1"/>
    <xf numFmtId="44" fontId="0" fillId="0" borderId="15" xfId="0" applyNumberFormat="1" applyBorder="1"/>
    <xf numFmtId="44" fontId="0" fillId="0" borderId="16" xfId="0" applyNumberFormat="1" applyBorder="1"/>
    <xf numFmtId="0" fontId="2" fillId="0" borderId="17" xfId="0" applyFont="1" applyBorder="1"/>
    <xf numFmtId="44" fontId="0" fillId="0" borderId="18" xfId="1" applyFont="1" applyBorder="1"/>
    <xf numFmtId="44" fontId="0" fillId="0" borderId="7" xfId="0" applyNumberFormat="1" applyBorder="1"/>
    <xf numFmtId="44" fontId="0" fillId="0" borderId="18" xfId="0" applyNumberFormat="1" applyBorder="1"/>
    <xf numFmtId="0" fontId="0" fillId="0" borderId="18" xfId="0" applyBorder="1"/>
    <xf numFmtId="44" fontId="0" fillId="15" borderId="7" xfId="0" applyNumberFormat="1" applyFill="1" applyBorder="1"/>
    <xf numFmtId="44" fontId="0" fillId="15" borderId="18" xfId="0" applyNumberFormat="1" applyFill="1" applyBorder="1"/>
    <xf numFmtId="44" fontId="0" fillId="0" borderId="0" xfId="0" applyNumberFormat="1"/>
    <xf numFmtId="0" fontId="2" fillId="0" borderId="19" xfId="0" applyFont="1" applyBorder="1"/>
    <xf numFmtId="0" fontId="0" fillId="0" borderId="20" xfId="0" applyBorder="1"/>
    <xf numFmtId="44" fontId="0" fillId="0" borderId="20" xfId="0" applyNumberFormat="1" applyBorder="1"/>
    <xf numFmtId="44" fontId="0" fillId="0" borderId="21" xfId="0" applyNumberFormat="1" applyBorder="1"/>
    <xf numFmtId="0" fontId="2" fillId="0" borderId="7" xfId="0" applyFont="1" applyBorder="1" applyAlignment="1">
      <alignment wrapText="1"/>
    </xf>
    <xf numFmtId="4" fontId="0" fillId="0" borderId="7" xfId="0" applyNumberFormat="1" applyBorder="1" applyAlignment="1">
      <alignment horizontal="center"/>
    </xf>
    <xf numFmtId="2" fontId="0" fillId="0" borderId="7" xfId="0" applyNumberFormat="1" applyBorder="1" applyAlignment="1">
      <alignment horizontal="center"/>
    </xf>
    <xf numFmtId="0" fontId="0" fillId="0" borderId="7" xfId="0" applyBorder="1" applyAlignment="1">
      <alignment horizontal="center"/>
    </xf>
    <xf numFmtId="43" fontId="0" fillId="0" borderId="7" xfId="6" applyFont="1" applyBorder="1"/>
    <xf numFmtId="0" fontId="0" fillId="0" borderId="7" xfId="0" applyBorder="1" applyAlignment="1">
      <alignment horizontal="left"/>
    </xf>
    <xf numFmtId="8" fontId="0" fillId="0" borderId="7" xfId="0" applyNumberFormat="1" applyBorder="1"/>
    <xf numFmtId="9" fontId="0" fillId="0" borderId="0" xfId="0" applyNumberFormat="1"/>
    <xf numFmtId="9" fontId="2" fillId="0" borderId="7" xfId="2" applyFont="1" applyFill="1" applyBorder="1"/>
    <xf numFmtId="0" fontId="4" fillId="0" borderId="0" xfId="3" applyFont="1" applyAlignment="1">
      <alignment horizontal="center" vertical="center" wrapText="1"/>
    </xf>
    <xf numFmtId="0" fontId="3" fillId="0" borderId="23" xfId="3" applyBorder="1" applyAlignment="1">
      <alignment horizontal="center"/>
    </xf>
    <xf numFmtId="0" fontId="3" fillId="0" borderId="24" xfId="3" applyBorder="1" applyAlignment="1">
      <alignment horizontal="center"/>
    </xf>
    <xf numFmtId="0" fontId="3" fillId="0" borderId="24" xfId="3" applyBorder="1"/>
    <xf numFmtId="0" fontId="3" fillId="0" borderId="25" xfId="3" applyBorder="1"/>
    <xf numFmtId="0" fontId="3" fillId="0" borderId="27" xfId="3" applyBorder="1"/>
    <xf numFmtId="0" fontId="3" fillId="0" borderId="26" xfId="3" applyBorder="1" applyAlignment="1">
      <alignment horizontal="center"/>
    </xf>
    <xf numFmtId="0" fontId="3" fillId="0" borderId="29" xfId="3" applyBorder="1"/>
    <xf numFmtId="0" fontId="3" fillId="0" borderId="30" xfId="3" applyBorder="1"/>
    <xf numFmtId="0" fontId="3" fillId="0" borderId="27" xfId="3" applyBorder="1" applyAlignment="1">
      <alignment horizontal="center"/>
    </xf>
    <xf numFmtId="0" fontId="3" fillId="0" borderId="26" xfId="3" applyBorder="1" applyAlignment="1">
      <alignment vertical="center"/>
    </xf>
    <xf numFmtId="0" fontId="4" fillId="4" borderId="27" xfId="3" applyFont="1" applyFill="1" applyBorder="1"/>
    <xf numFmtId="0" fontId="3" fillId="4" borderId="27" xfId="3" applyFill="1" applyBorder="1"/>
    <xf numFmtId="164" fontId="0" fillId="0" borderId="26" xfId="5" applyNumberFormat="1" applyFont="1" applyBorder="1" applyAlignment="1">
      <alignment horizontal="center"/>
    </xf>
    <xf numFmtId="164" fontId="0" fillId="0" borderId="28" xfId="5" applyNumberFormat="1" applyFont="1" applyBorder="1" applyAlignment="1">
      <alignment horizontal="center"/>
    </xf>
    <xf numFmtId="2" fontId="3" fillId="0" borderId="29" xfId="3" applyNumberFormat="1" applyBorder="1" applyAlignment="1">
      <alignment horizontal="center"/>
    </xf>
    <xf numFmtId="0" fontId="3" fillId="0" borderId="23" xfId="3" applyBorder="1"/>
    <xf numFmtId="0" fontId="3" fillId="0" borderId="26" xfId="3" applyBorder="1"/>
    <xf numFmtId="0" fontId="3" fillId="0" borderId="28" xfId="3" applyBorder="1"/>
    <xf numFmtId="0" fontId="4" fillId="15" borderId="1" xfId="3" applyFont="1" applyFill="1" applyBorder="1" applyAlignment="1">
      <alignment horizontal="center" vertical="center" wrapText="1"/>
    </xf>
    <xf numFmtId="0" fontId="4" fillId="15" borderId="2" xfId="3" applyFont="1" applyFill="1" applyBorder="1" applyAlignment="1">
      <alignment horizontal="center" vertical="center"/>
    </xf>
    <xf numFmtId="0" fontId="4" fillId="15" borderId="3" xfId="3" applyFont="1" applyFill="1" applyBorder="1" applyAlignment="1">
      <alignment horizontal="center" vertical="center"/>
    </xf>
    <xf numFmtId="0" fontId="4" fillId="15" borderId="4" xfId="3" applyFont="1" applyFill="1" applyBorder="1" applyAlignment="1">
      <alignment horizontal="center" vertical="center"/>
    </xf>
    <xf numFmtId="0" fontId="4" fillId="15" borderId="5" xfId="3" applyFont="1" applyFill="1" applyBorder="1" applyAlignment="1">
      <alignment horizontal="center" vertical="center"/>
    </xf>
    <xf numFmtId="0" fontId="4" fillId="15" borderId="6" xfId="3" applyFont="1" applyFill="1" applyBorder="1" applyAlignment="1">
      <alignment horizontal="center" vertical="center"/>
    </xf>
    <xf numFmtId="0" fontId="3" fillId="0" borderId="26" xfId="3" applyBorder="1" applyAlignment="1">
      <alignment horizontal="right" vertical="center"/>
    </xf>
    <xf numFmtId="0" fontId="3" fillId="0" borderId="4" xfId="3" applyBorder="1" applyAlignment="1">
      <alignment horizontal="right" vertical="center"/>
    </xf>
    <xf numFmtId="0" fontId="4" fillId="7" borderId="1" xfId="3" applyFont="1" applyFill="1" applyBorder="1" applyAlignment="1">
      <alignment horizontal="center" vertical="center" wrapText="1"/>
    </xf>
    <xf numFmtId="0" fontId="4" fillId="7" borderId="2" xfId="3" applyFont="1" applyFill="1" applyBorder="1" applyAlignment="1">
      <alignment horizontal="center" vertical="center" wrapText="1"/>
    </xf>
    <xf numFmtId="0" fontId="4" fillId="7" borderId="3" xfId="3" applyFont="1" applyFill="1" applyBorder="1" applyAlignment="1">
      <alignment horizontal="center" vertical="center" wrapText="1"/>
    </xf>
    <xf numFmtId="0" fontId="4" fillId="7" borderId="4" xfId="3" applyFont="1" applyFill="1" applyBorder="1" applyAlignment="1">
      <alignment horizontal="center" vertical="center" wrapText="1"/>
    </xf>
    <xf numFmtId="0" fontId="4" fillId="7" borderId="5" xfId="3" applyFont="1" applyFill="1" applyBorder="1" applyAlignment="1">
      <alignment horizontal="center" vertical="center" wrapText="1"/>
    </xf>
    <xf numFmtId="0" fontId="4" fillId="7" borderId="6" xfId="3" applyFont="1" applyFill="1" applyBorder="1" applyAlignment="1">
      <alignment horizontal="center" vertical="center" wrapText="1"/>
    </xf>
    <xf numFmtId="0" fontId="4" fillId="10" borderId="1" xfId="3" applyFont="1" applyFill="1" applyBorder="1" applyAlignment="1">
      <alignment horizontal="center" vertical="center" wrapText="1"/>
    </xf>
    <xf numFmtId="0" fontId="4" fillId="10" borderId="22" xfId="3" applyFont="1" applyFill="1" applyBorder="1" applyAlignment="1">
      <alignment horizontal="center" vertical="center" wrapText="1"/>
    </xf>
    <xf numFmtId="0" fontId="4" fillId="10" borderId="2" xfId="3" applyFont="1" applyFill="1" applyBorder="1" applyAlignment="1">
      <alignment horizontal="center" vertical="center" wrapText="1"/>
    </xf>
    <xf numFmtId="0" fontId="4" fillId="10" borderId="3" xfId="3" applyFont="1" applyFill="1" applyBorder="1" applyAlignment="1">
      <alignment horizontal="center" vertical="center" wrapText="1"/>
    </xf>
    <xf numFmtId="0" fontId="4" fillId="10" borderId="0" xfId="3" applyFont="1" applyFill="1" applyAlignment="1">
      <alignment horizontal="center" vertical="center" wrapText="1"/>
    </xf>
    <xf numFmtId="0" fontId="4" fillId="10" borderId="4" xfId="3" applyFont="1" applyFill="1" applyBorder="1" applyAlignment="1">
      <alignment horizontal="center" vertical="center" wrapText="1"/>
    </xf>
    <xf numFmtId="0" fontId="4" fillId="10" borderId="5" xfId="3" applyFont="1" applyFill="1" applyBorder="1" applyAlignment="1">
      <alignment horizontal="center" vertical="center" wrapText="1"/>
    </xf>
    <xf numFmtId="0" fontId="4" fillId="10" borderId="13" xfId="3" applyFont="1" applyFill="1" applyBorder="1" applyAlignment="1">
      <alignment horizontal="center" vertical="center" wrapText="1"/>
    </xf>
    <xf numFmtId="0" fontId="4" fillId="10" borderId="6" xfId="3" applyFont="1" applyFill="1" applyBorder="1" applyAlignment="1">
      <alignment horizontal="center" vertical="center" wrapText="1"/>
    </xf>
    <xf numFmtId="0" fontId="4" fillId="16" borderId="1" xfId="3" applyFont="1" applyFill="1" applyBorder="1" applyAlignment="1">
      <alignment horizontal="center" vertical="center" wrapText="1"/>
    </xf>
    <xf numFmtId="0" fontId="4" fillId="16" borderId="2" xfId="3" applyFont="1" applyFill="1" applyBorder="1" applyAlignment="1">
      <alignment horizontal="center" vertical="center" wrapText="1"/>
    </xf>
    <xf numFmtId="0" fontId="4" fillId="16" borderId="3" xfId="3" applyFont="1" applyFill="1" applyBorder="1" applyAlignment="1">
      <alignment horizontal="center" vertical="center" wrapText="1"/>
    </xf>
    <xf numFmtId="0" fontId="4" fillId="16" borderId="4" xfId="3" applyFont="1" applyFill="1" applyBorder="1" applyAlignment="1">
      <alignment horizontal="center" vertical="center" wrapText="1"/>
    </xf>
    <xf numFmtId="0" fontId="4" fillId="16" borderId="5" xfId="3" applyFont="1" applyFill="1" applyBorder="1" applyAlignment="1">
      <alignment horizontal="center" vertical="center" wrapText="1"/>
    </xf>
    <xf numFmtId="0" fontId="4" fillId="16" borderId="6" xfId="3" applyFont="1" applyFill="1" applyBorder="1" applyAlignment="1">
      <alignment horizontal="center" vertical="center" wrapText="1"/>
    </xf>
    <xf numFmtId="0" fontId="4" fillId="3" borderId="1" xfId="3" applyFont="1" applyFill="1" applyBorder="1" applyAlignment="1">
      <alignment horizontal="center" vertical="center" wrapText="1"/>
    </xf>
    <xf numFmtId="0" fontId="4" fillId="3" borderId="2" xfId="3" applyFont="1" applyFill="1" applyBorder="1" applyAlignment="1">
      <alignment horizontal="center" vertical="center" wrapText="1"/>
    </xf>
    <xf numFmtId="0" fontId="4" fillId="3" borderId="3" xfId="3" applyFont="1" applyFill="1" applyBorder="1" applyAlignment="1">
      <alignment horizontal="center" vertical="center" wrapText="1"/>
    </xf>
    <xf numFmtId="0" fontId="4" fillId="3" borderId="4" xfId="3" applyFont="1" applyFill="1" applyBorder="1" applyAlignment="1">
      <alignment horizontal="center" vertical="center" wrapText="1"/>
    </xf>
    <xf numFmtId="0" fontId="4" fillId="3" borderId="5" xfId="3" applyFont="1" applyFill="1" applyBorder="1" applyAlignment="1">
      <alignment horizontal="center" vertical="center" wrapText="1"/>
    </xf>
    <xf numFmtId="0" fontId="4" fillId="3" borderId="6" xfId="3" applyFont="1" applyFill="1" applyBorder="1" applyAlignment="1">
      <alignment horizontal="center" vertical="center" wrapText="1"/>
    </xf>
    <xf numFmtId="0" fontId="4" fillId="3" borderId="2" xfId="3" applyFont="1" applyFill="1" applyBorder="1" applyAlignment="1">
      <alignment horizontal="center" vertical="center"/>
    </xf>
    <xf numFmtId="0" fontId="4" fillId="3" borderId="3" xfId="3" applyFont="1" applyFill="1" applyBorder="1" applyAlignment="1">
      <alignment horizontal="center" vertical="center"/>
    </xf>
    <xf numFmtId="0" fontId="4" fillId="3" borderId="4" xfId="3" applyFont="1" applyFill="1" applyBorder="1" applyAlignment="1">
      <alignment horizontal="center" vertical="center"/>
    </xf>
    <xf numFmtId="0" fontId="4" fillId="3" borderId="5" xfId="3" applyFont="1" applyFill="1" applyBorder="1" applyAlignment="1">
      <alignment horizontal="center" vertical="center"/>
    </xf>
    <xf numFmtId="0" fontId="4" fillId="3" borderId="6" xfId="3" applyFont="1" applyFill="1" applyBorder="1" applyAlignment="1">
      <alignment horizontal="center" vertical="center"/>
    </xf>
    <xf numFmtId="0" fontId="4" fillId="17" borderId="1" xfId="3" applyFont="1" applyFill="1" applyBorder="1" applyAlignment="1">
      <alignment horizontal="center" vertical="center" wrapText="1"/>
    </xf>
    <xf numFmtId="0" fontId="4" fillId="17" borderId="22" xfId="3" applyFont="1" applyFill="1" applyBorder="1" applyAlignment="1">
      <alignment horizontal="center" vertical="center" wrapText="1"/>
    </xf>
    <xf numFmtId="0" fontId="4" fillId="17" borderId="2" xfId="3" applyFont="1" applyFill="1" applyBorder="1" applyAlignment="1">
      <alignment horizontal="center" vertical="center" wrapText="1"/>
    </xf>
    <xf numFmtId="0" fontId="4" fillId="17" borderId="3" xfId="3" applyFont="1" applyFill="1" applyBorder="1" applyAlignment="1">
      <alignment horizontal="center" vertical="center" wrapText="1"/>
    </xf>
    <xf numFmtId="0" fontId="4" fillId="17" borderId="0" xfId="3" applyFont="1" applyFill="1" applyAlignment="1">
      <alignment horizontal="center" vertical="center" wrapText="1"/>
    </xf>
    <xf numFmtId="0" fontId="4" fillId="17" borderId="4" xfId="3" applyFont="1" applyFill="1" applyBorder="1" applyAlignment="1">
      <alignment horizontal="center" vertical="center" wrapText="1"/>
    </xf>
    <xf numFmtId="0" fontId="4" fillId="17" borderId="5" xfId="3" applyFont="1" applyFill="1" applyBorder="1" applyAlignment="1">
      <alignment horizontal="center" vertical="center" wrapText="1"/>
    </xf>
    <xf numFmtId="0" fontId="4" fillId="17" borderId="13" xfId="3" applyFont="1" applyFill="1" applyBorder="1" applyAlignment="1">
      <alignment horizontal="center" vertical="center" wrapText="1"/>
    </xf>
    <xf numFmtId="0" fontId="4" fillId="17" borderId="6" xfId="3" applyFont="1" applyFill="1" applyBorder="1" applyAlignment="1">
      <alignment horizontal="center" vertical="center" wrapText="1"/>
    </xf>
    <xf numFmtId="0" fontId="4" fillId="5" borderId="1" xfId="3" applyFont="1" applyFill="1" applyBorder="1" applyAlignment="1">
      <alignment horizontal="center" vertical="center" wrapText="1"/>
    </xf>
    <xf numFmtId="0" fontId="4" fillId="5" borderId="2" xfId="3" applyFont="1" applyFill="1" applyBorder="1" applyAlignment="1">
      <alignment horizontal="center" vertical="center" wrapText="1"/>
    </xf>
    <xf numFmtId="0" fontId="4" fillId="5" borderId="3" xfId="3" applyFont="1" applyFill="1" applyBorder="1" applyAlignment="1">
      <alignment horizontal="center" vertical="center" wrapText="1"/>
    </xf>
    <xf numFmtId="0" fontId="4" fillId="5" borderId="4" xfId="3" applyFont="1" applyFill="1" applyBorder="1" applyAlignment="1">
      <alignment horizontal="center" vertical="center" wrapText="1"/>
    </xf>
    <xf numFmtId="0" fontId="4" fillId="5" borderId="5" xfId="3" applyFont="1" applyFill="1" applyBorder="1" applyAlignment="1">
      <alignment horizontal="center" vertical="center" wrapText="1"/>
    </xf>
    <xf numFmtId="0" fontId="4" fillId="5" borderId="6" xfId="3" applyFont="1" applyFill="1" applyBorder="1" applyAlignment="1">
      <alignment horizontal="center" vertical="center" wrapText="1"/>
    </xf>
    <xf numFmtId="0" fontId="4" fillId="9" borderId="31" xfId="3" applyFont="1" applyFill="1" applyBorder="1" applyAlignment="1">
      <alignment horizontal="center" vertical="center" wrapText="1"/>
    </xf>
    <xf numFmtId="0" fontId="4" fillId="9" borderId="32" xfId="3" applyFont="1" applyFill="1" applyBorder="1" applyAlignment="1">
      <alignment horizontal="center" vertical="center" wrapText="1"/>
    </xf>
    <xf numFmtId="0" fontId="4" fillId="9" borderId="33" xfId="3" applyFont="1" applyFill="1" applyBorder="1" applyAlignment="1">
      <alignment horizontal="center" vertical="center" wrapText="1"/>
    </xf>
    <xf numFmtId="0" fontId="4" fillId="9" borderId="34" xfId="3" applyFont="1" applyFill="1" applyBorder="1" applyAlignment="1">
      <alignment horizontal="center" vertical="center" wrapText="1"/>
    </xf>
    <xf numFmtId="0" fontId="4" fillId="9" borderId="35" xfId="3" applyFont="1" applyFill="1" applyBorder="1" applyAlignment="1">
      <alignment horizontal="center" vertical="center" wrapText="1"/>
    </xf>
    <xf numFmtId="0" fontId="4" fillId="9" borderId="36" xfId="3" applyFont="1" applyFill="1" applyBorder="1" applyAlignment="1">
      <alignment horizontal="center" vertical="center" wrapText="1"/>
    </xf>
    <xf numFmtId="0" fontId="4" fillId="2" borderId="1" xfId="3" applyFont="1" applyFill="1" applyBorder="1" applyAlignment="1">
      <alignment horizontal="center" vertical="center" wrapText="1"/>
    </xf>
    <xf numFmtId="0" fontId="4" fillId="2" borderId="2" xfId="3" applyFont="1" applyFill="1" applyBorder="1" applyAlignment="1">
      <alignment horizontal="center" vertical="center" wrapText="1"/>
    </xf>
    <xf numFmtId="0" fontId="4" fillId="2" borderId="3" xfId="3" applyFont="1" applyFill="1" applyBorder="1" applyAlignment="1">
      <alignment horizontal="center" vertical="center" wrapText="1"/>
    </xf>
    <xf numFmtId="0" fontId="4" fillId="2" borderId="4" xfId="3" applyFont="1" applyFill="1" applyBorder="1" applyAlignment="1">
      <alignment horizontal="center" vertical="center" wrapText="1"/>
    </xf>
    <xf numFmtId="0" fontId="4" fillId="2" borderId="5" xfId="3" applyFont="1" applyFill="1" applyBorder="1" applyAlignment="1">
      <alignment horizontal="center" vertical="center" wrapText="1"/>
    </xf>
    <xf numFmtId="0" fontId="4" fillId="2" borderId="6" xfId="3" applyFont="1" applyFill="1" applyBorder="1" applyAlignment="1">
      <alignment horizontal="center" vertical="center" wrapText="1"/>
    </xf>
    <xf numFmtId="0" fontId="4" fillId="3" borderId="1" xfId="3" applyFont="1" applyFill="1" applyBorder="1" applyAlignment="1">
      <alignment horizontal="center" vertical="center"/>
    </xf>
    <xf numFmtId="0" fontId="4" fillId="6" borderId="1" xfId="3" applyFont="1" applyFill="1" applyBorder="1" applyAlignment="1">
      <alignment horizontal="center" vertical="center" wrapText="1"/>
    </xf>
    <xf numFmtId="0" fontId="4" fillId="6" borderId="22" xfId="3" applyFont="1" applyFill="1" applyBorder="1" applyAlignment="1">
      <alignment horizontal="center" vertical="center" wrapText="1"/>
    </xf>
    <xf numFmtId="0" fontId="4" fillId="6" borderId="2" xfId="3" applyFont="1" applyFill="1" applyBorder="1" applyAlignment="1">
      <alignment horizontal="center" vertical="center" wrapText="1"/>
    </xf>
    <xf numFmtId="0" fontId="4" fillId="6" borderId="3" xfId="3" applyFont="1" applyFill="1" applyBorder="1" applyAlignment="1">
      <alignment horizontal="center" vertical="center" wrapText="1"/>
    </xf>
    <xf numFmtId="0" fontId="4" fillId="6" borderId="0" xfId="3" applyFont="1" applyFill="1" applyAlignment="1">
      <alignment horizontal="center" vertical="center" wrapText="1"/>
    </xf>
    <xf numFmtId="0" fontId="4" fillId="6" borderId="4" xfId="3" applyFont="1" applyFill="1" applyBorder="1" applyAlignment="1">
      <alignment horizontal="center" vertical="center" wrapText="1"/>
    </xf>
    <xf numFmtId="0" fontId="4" fillId="6" borderId="5" xfId="3" applyFont="1" applyFill="1" applyBorder="1" applyAlignment="1">
      <alignment horizontal="center" vertical="center" wrapText="1"/>
    </xf>
    <xf numFmtId="0" fontId="4" fillId="6" borderId="13" xfId="3" applyFont="1" applyFill="1" applyBorder="1" applyAlignment="1">
      <alignment horizontal="center" vertical="center" wrapText="1"/>
    </xf>
    <xf numFmtId="0" fontId="4" fillId="6" borderId="6" xfId="3" applyFont="1" applyFill="1" applyBorder="1" applyAlignment="1">
      <alignment horizontal="center" vertical="center" wrapText="1"/>
    </xf>
    <xf numFmtId="0" fontId="4" fillId="15" borderId="1" xfId="3" applyFont="1" applyFill="1" applyBorder="1" applyAlignment="1">
      <alignment horizontal="center" vertical="center"/>
    </xf>
    <xf numFmtId="0" fontId="3" fillId="0" borderId="0" xfId="3" applyAlignment="1">
      <alignment horizontal="center" vertical="center" textRotation="90" wrapText="1"/>
    </xf>
    <xf numFmtId="0" fontId="4" fillId="8" borderId="1" xfId="3" applyFont="1" applyFill="1" applyBorder="1" applyAlignment="1">
      <alignment horizontal="center" vertical="center" wrapText="1"/>
    </xf>
    <xf numFmtId="0" fontId="4" fillId="8" borderId="2" xfId="3" applyFont="1" applyFill="1" applyBorder="1" applyAlignment="1">
      <alignment horizontal="center" vertical="center" wrapText="1"/>
    </xf>
    <xf numFmtId="0" fontId="4" fillId="8" borderId="3" xfId="3" applyFont="1" applyFill="1" applyBorder="1" applyAlignment="1">
      <alignment horizontal="center" vertical="center" wrapText="1"/>
    </xf>
    <xf numFmtId="0" fontId="4" fillId="8" borderId="4" xfId="3" applyFont="1" applyFill="1" applyBorder="1" applyAlignment="1">
      <alignment horizontal="center" vertical="center" wrapText="1"/>
    </xf>
    <xf numFmtId="0" fontId="4" fillId="8" borderId="5" xfId="3" applyFont="1" applyFill="1" applyBorder="1" applyAlignment="1">
      <alignment horizontal="center" vertical="center" wrapText="1"/>
    </xf>
    <xf numFmtId="0" fontId="4" fillId="8" borderId="6" xfId="3" applyFont="1" applyFill="1" applyBorder="1" applyAlignment="1">
      <alignment horizontal="center" vertical="center" wrapText="1"/>
    </xf>
    <xf numFmtId="0" fontId="4" fillId="14" borderId="1" xfId="3" applyFont="1" applyFill="1" applyBorder="1" applyAlignment="1">
      <alignment horizontal="center" vertical="center" wrapText="1"/>
    </xf>
    <xf numFmtId="0" fontId="4" fillId="14" borderId="2" xfId="3" applyFont="1" applyFill="1" applyBorder="1" applyAlignment="1">
      <alignment horizontal="center" vertical="center" wrapText="1"/>
    </xf>
    <xf numFmtId="0" fontId="4" fillId="14" borderId="3" xfId="3" applyFont="1" applyFill="1" applyBorder="1" applyAlignment="1">
      <alignment horizontal="center" vertical="center" wrapText="1"/>
    </xf>
    <xf numFmtId="0" fontId="4" fillId="14" borderId="4" xfId="3" applyFont="1" applyFill="1" applyBorder="1" applyAlignment="1">
      <alignment horizontal="center" vertical="center" wrapText="1"/>
    </xf>
    <xf numFmtId="0" fontId="4" fillId="14" borderId="5" xfId="3" applyFont="1" applyFill="1" applyBorder="1" applyAlignment="1">
      <alignment horizontal="center" vertical="center" wrapText="1"/>
    </xf>
    <xf numFmtId="0" fontId="4" fillId="14" borderId="6" xfId="3" applyFont="1" applyFill="1" applyBorder="1" applyAlignment="1">
      <alignment horizontal="center" vertical="center" wrapText="1"/>
    </xf>
    <xf numFmtId="0" fontId="4" fillId="7" borderId="22" xfId="3" applyFont="1" applyFill="1" applyBorder="1" applyAlignment="1">
      <alignment horizontal="center" vertical="center" wrapText="1"/>
    </xf>
    <xf numFmtId="0" fontId="4" fillId="7" borderId="0" xfId="3" applyFont="1" applyFill="1" applyAlignment="1">
      <alignment horizontal="center" vertical="center" wrapText="1"/>
    </xf>
    <xf numFmtId="0" fontId="4" fillId="7" borderId="13" xfId="3" applyFont="1" applyFill="1" applyBorder="1" applyAlignment="1">
      <alignment horizontal="center" vertical="center" wrapText="1"/>
    </xf>
    <xf numFmtId="0" fontId="0" fillId="2" borderId="10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2" fillId="0" borderId="7" xfId="0" applyFont="1" applyBorder="1" applyAlignment="1">
      <alignment horizontal="left" vertical="center" wrapText="1"/>
    </xf>
    <xf numFmtId="0" fontId="2" fillId="0" borderId="0" xfId="0" applyFont="1" applyAlignment="1">
      <alignment horizontal="center" wrapText="1"/>
    </xf>
    <xf numFmtId="0" fontId="0" fillId="2" borderId="5" xfId="0" applyFill="1" applyBorder="1" applyAlignment="1">
      <alignment horizontal="center"/>
    </xf>
    <xf numFmtId="0" fontId="0" fillId="2" borderId="13" xfId="0" applyFill="1" applyBorder="1" applyAlignment="1">
      <alignment horizontal="center"/>
    </xf>
  </cellXfs>
  <cellStyles count="7">
    <cellStyle name="Dziesiętny 2" xfId="5" xr:uid="{00000000-0005-0000-0000-000000000000}"/>
    <cellStyle name="Dziesiętny 3" xfId="6" xr:uid="{00000000-0005-0000-0000-000001000000}"/>
    <cellStyle name="Normalny" xfId="0" builtinId="0"/>
    <cellStyle name="Normalny 2" xfId="3" xr:uid="{00000000-0005-0000-0000-000003000000}"/>
    <cellStyle name="Procentowy" xfId="2" builtinId="5"/>
    <cellStyle name="Procentowy 2" xfId="4" xr:uid="{00000000-0005-0000-0000-000005000000}"/>
    <cellStyle name="Walutowy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99787</xdr:colOff>
      <xdr:row>32</xdr:row>
      <xdr:rowOff>81644</xdr:rowOff>
    </xdr:from>
    <xdr:to>
      <xdr:col>7</xdr:col>
      <xdr:colOff>518887</xdr:colOff>
      <xdr:row>32</xdr:row>
      <xdr:rowOff>81644</xdr:rowOff>
    </xdr:to>
    <xdr:cxnSp macro="">
      <xdr:nvCxnSpPr>
        <xdr:cNvPr id="6" name="Łącznik prosty ze strzałką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CxnSpPr/>
      </xdr:nvCxnSpPr>
      <xdr:spPr>
        <a:xfrm>
          <a:off x="5541737" y="3605894"/>
          <a:ext cx="419100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20</xdr:col>
      <xdr:colOff>97118</xdr:colOff>
      <xdr:row>32</xdr:row>
      <xdr:rowOff>14941</xdr:rowOff>
    </xdr:from>
    <xdr:to>
      <xdr:col>20</xdr:col>
      <xdr:colOff>109070</xdr:colOff>
      <xdr:row>34</xdr:row>
      <xdr:rowOff>135538</xdr:rowOff>
    </xdr:to>
    <xdr:cxnSp macro="">
      <xdr:nvCxnSpPr>
        <xdr:cNvPr id="14" name="Łącznik prosty ze strzałką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CxnSpPr/>
      </xdr:nvCxnSpPr>
      <xdr:spPr>
        <a:xfrm>
          <a:off x="13775018" y="3539191"/>
          <a:ext cx="11952" cy="438097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20</xdr:col>
      <xdr:colOff>397766</xdr:colOff>
      <xdr:row>27</xdr:row>
      <xdr:rowOff>9698</xdr:rowOff>
    </xdr:from>
    <xdr:to>
      <xdr:col>20</xdr:col>
      <xdr:colOff>407307</xdr:colOff>
      <xdr:row>34</xdr:row>
      <xdr:rowOff>87993</xdr:rowOff>
    </xdr:to>
    <xdr:cxnSp macro="">
      <xdr:nvCxnSpPr>
        <xdr:cNvPr id="16" name="Łącznik prosty ze strzałką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CxnSpPr/>
      </xdr:nvCxnSpPr>
      <xdr:spPr>
        <a:xfrm>
          <a:off x="14023052" y="4300484"/>
          <a:ext cx="9541" cy="122129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21</xdr:col>
      <xdr:colOff>577272</xdr:colOff>
      <xdr:row>32</xdr:row>
      <xdr:rowOff>138545</xdr:rowOff>
    </xdr:from>
    <xdr:to>
      <xdr:col>21</xdr:col>
      <xdr:colOff>577272</xdr:colOff>
      <xdr:row>34</xdr:row>
      <xdr:rowOff>146792</xdr:rowOff>
    </xdr:to>
    <xdr:cxnSp macro="">
      <xdr:nvCxnSpPr>
        <xdr:cNvPr id="19" name="Łącznik prosty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CxnSpPr/>
      </xdr:nvCxnSpPr>
      <xdr:spPr>
        <a:xfrm flipV="1">
          <a:off x="14877472" y="3662795"/>
          <a:ext cx="0" cy="325747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21</xdr:col>
      <xdr:colOff>577273</xdr:colOff>
      <xdr:row>38</xdr:row>
      <xdr:rowOff>0</xdr:rowOff>
    </xdr:from>
    <xdr:to>
      <xdr:col>21</xdr:col>
      <xdr:colOff>577273</xdr:colOff>
      <xdr:row>39</xdr:row>
      <xdr:rowOff>169883</xdr:rowOff>
    </xdr:to>
    <xdr:cxnSp macro="">
      <xdr:nvCxnSpPr>
        <xdr:cNvPr id="20" name="Łącznik prosty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CxnSpPr/>
      </xdr:nvCxnSpPr>
      <xdr:spPr>
        <a:xfrm flipV="1">
          <a:off x="14877473" y="4483100"/>
          <a:ext cx="0" cy="334983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21</xdr:col>
      <xdr:colOff>404091</xdr:colOff>
      <xdr:row>32</xdr:row>
      <xdr:rowOff>138545</xdr:rowOff>
    </xdr:from>
    <xdr:to>
      <xdr:col>25</xdr:col>
      <xdr:colOff>579664</xdr:colOff>
      <xdr:row>32</xdr:row>
      <xdr:rowOff>139700</xdr:rowOff>
    </xdr:to>
    <xdr:cxnSp macro="">
      <xdr:nvCxnSpPr>
        <xdr:cNvPr id="22" name="Łącznik prosty ze strzałką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CxnSpPr/>
      </xdr:nvCxnSpPr>
      <xdr:spPr>
        <a:xfrm>
          <a:off x="14558818" y="5368636"/>
          <a:ext cx="2242210" cy="115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171824</xdr:colOff>
      <xdr:row>29</xdr:row>
      <xdr:rowOff>14941</xdr:rowOff>
    </xdr:from>
    <xdr:to>
      <xdr:col>26</xdr:col>
      <xdr:colOff>179294</xdr:colOff>
      <xdr:row>30</xdr:row>
      <xdr:rowOff>119530</xdr:rowOff>
    </xdr:to>
    <xdr:cxnSp macro="">
      <xdr:nvCxnSpPr>
        <xdr:cNvPr id="23" name="Łącznik prosty ze strzałką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CxnSpPr/>
      </xdr:nvCxnSpPr>
      <xdr:spPr>
        <a:xfrm flipH="1" flipV="1">
          <a:off x="17583524" y="3062941"/>
          <a:ext cx="7470" cy="263339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29</xdr:col>
      <xdr:colOff>52294</xdr:colOff>
      <xdr:row>39</xdr:row>
      <xdr:rowOff>97118</xdr:rowOff>
    </xdr:from>
    <xdr:to>
      <xdr:col>29</xdr:col>
      <xdr:colOff>547168</xdr:colOff>
      <xdr:row>39</xdr:row>
      <xdr:rowOff>104589</xdr:rowOff>
    </xdr:to>
    <xdr:cxnSp macro="">
      <xdr:nvCxnSpPr>
        <xdr:cNvPr id="24" name="Łącznik prosty ze strzałką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CxnSpPr/>
      </xdr:nvCxnSpPr>
      <xdr:spPr>
        <a:xfrm>
          <a:off x="18708594" y="4745318"/>
          <a:ext cx="494874" cy="7471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29</xdr:col>
      <xdr:colOff>327269</xdr:colOff>
      <xdr:row>32</xdr:row>
      <xdr:rowOff>63500</xdr:rowOff>
    </xdr:from>
    <xdr:to>
      <xdr:col>33</xdr:col>
      <xdr:colOff>12122</xdr:colOff>
      <xdr:row>32</xdr:row>
      <xdr:rowOff>65809</xdr:rowOff>
    </xdr:to>
    <xdr:cxnSp macro="">
      <xdr:nvCxnSpPr>
        <xdr:cNvPr id="25" name="Łącznik prosty ze strzałką 24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CxnSpPr/>
      </xdr:nvCxnSpPr>
      <xdr:spPr>
        <a:xfrm>
          <a:off x="18983569" y="3587750"/>
          <a:ext cx="2174053" cy="2309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32</xdr:col>
      <xdr:colOff>246530</xdr:colOff>
      <xdr:row>39</xdr:row>
      <xdr:rowOff>107950</xdr:rowOff>
    </xdr:from>
    <xdr:to>
      <xdr:col>32</xdr:col>
      <xdr:colOff>565150</xdr:colOff>
      <xdr:row>39</xdr:row>
      <xdr:rowOff>112058</xdr:rowOff>
    </xdr:to>
    <xdr:cxnSp macro="">
      <xdr:nvCxnSpPr>
        <xdr:cNvPr id="26" name="Łącznik prosty ze strzałką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CxnSpPr/>
      </xdr:nvCxnSpPr>
      <xdr:spPr>
        <a:xfrm flipV="1">
          <a:off x="20769730" y="4756150"/>
          <a:ext cx="318620" cy="4108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32</xdr:col>
      <xdr:colOff>183572</xdr:colOff>
      <xdr:row>43</xdr:row>
      <xdr:rowOff>53109</xdr:rowOff>
    </xdr:from>
    <xdr:to>
      <xdr:col>32</xdr:col>
      <xdr:colOff>545522</xdr:colOff>
      <xdr:row>43</xdr:row>
      <xdr:rowOff>59459</xdr:rowOff>
    </xdr:to>
    <xdr:cxnSp macro="">
      <xdr:nvCxnSpPr>
        <xdr:cNvPr id="27" name="Łącznik prosty ze strzałką 26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CxnSpPr/>
      </xdr:nvCxnSpPr>
      <xdr:spPr>
        <a:xfrm flipV="1">
          <a:off x="20630572" y="7165109"/>
          <a:ext cx="361950" cy="63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29</xdr:col>
      <xdr:colOff>321235</xdr:colOff>
      <xdr:row>32</xdr:row>
      <xdr:rowOff>80818</xdr:rowOff>
    </xdr:from>
    <xdr:to>
      <xdr:col>29</xdr:col>
      <xdr:colOff>323273</xdr:colOff>
      <xdr:row>39</xdr:row>
      <xdr:rowOff>82176</xdr:rowOff>
    </xdr:to>
    <xdr:cxnSp macro="">
      <xdr:nvCxnSpPr>
        <xdr:cNvPr id="28" name="Łącznik prosty 2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CxnSpPr/>
      </xdr:nvCxnSpPr>
      <xdr:spPr>
        <a:xfrm flipV="1">
          <a:off x="18977535" y="3605068"/>
          <a:ext cx="2038" cy="1125308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32</xdr:col>
      <xdr:colOff>241300</xdr:colOff>
      <xdr:row>33</xdr:row>
      <xdr:rowOff>95250</xdr:rowOff>
    </xdr:from>
    <xdr:to>
      <xdr:col>32</xdr:col>
      <xdr:colOff>241300</xdr:colOff>
      <xdr:row>43</xdr:row>
      <xdr:rowOff>95250</xdr:rowOff>
    </xdr:to>
    <xdr:cxnSp macro="">
      <xdr:nvCxnSpPr>
        <xdr:cNvPr id="29" name="Łącznik prosty 28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CxnSpPr/>
      </xdr:nvCxnSpPr>
      <xdr:spPr>
        <a:xfrm flipV="1">
          <a:off x="20764500" y="3778250"/>
          <a:ext cx="0" cy="169545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32</xdr:col>
      <xdr:colOff>0</xdr:colOff>
      <xdr:row>39</xdr:row>
      <xdr:rowOff>107950</xdr:rowOff>
    </xdr:from>
    <xdr:to>
      <xdr:col>32</xdr:col>
      <xdr:colOff>247650</xdr:colOff>
      <xdr:row>39</xdr:row>
      <xdr:rowOff>107950</xdr:rowOff>
    </xdr:to>
    <xdr:cxnSp macro="">
      <xdr:nvCxnSpPr>
        <xdr:cNvPr id="30" name="Łącznik prosty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CxnSpPr/>
      </xdr:nvCxnSpPr>
      <xdr:spPr>
        <a:xfrm>
          <a:off x="20523200" y="4756150"/>
          <a:ext cx="24765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32</xdr:col>
      <xdr:colOff>241300</xdr:colOff>
      <xdr:row>33</xdr:row>
      <xdr:rowOff>92262</xdr:rowOff>
    </xdr:from>
    <xdr:to>
      <xdr:col>32</xdr:col>
      <xdr:colOff>590176</xdr:colOff>
      <xdr:row>33</xdr:row>
      <xdr:rowOff>97118</xdr:rowOff>
    </xdr:to>
    <xdr:cxnSp macro="">
      <xdr:nvCxnSpPr>
        <xdr:cNvPr id="31" name="Łącznik prosty ze strzałką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CxnSpPr/>
      </xdr:nvCxnSpPr>
      <xdr:spPr>
        <a:xfrm>
          <a:off x="20764500" y="3775262"/>
          <a:ext cx="348876" cy="4856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607786</xdr:colOff>
      <xdr:row>41</xdr:row>
      <xdr:rowOff>18143</xdr:rowOff>
    </xdr:from>
    <xdr:to>
      <xdr:col>26</xdr:col>
      <xdr:colOff>607786</xdr:colOff>
      <xdr:row>42</xdr:row>
      <xdr:rowOff>154214</xdr:rowOff>
    </xdr:to>
    <xdr:cxnSp macro="">
      <xdr:nvCxnSpPr>
        <xdr:cNvPr id="32" name="Łącznik prosty ze strzałką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CxnSpPr/>
      </xdr:nvCxnSpPr>
      <xdr:spPr>
        <a:xfrm>
          <a:off x="18019486" y="5028293"/>
          <a:ext cx="0" cy="320221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80818</xdr:colOff>
      <xdr:row>37</xdr:row>
      <xdr:rowOff>138546</xdr:rowOff>
    </xdr:from>
    <xdr:to>
      <xdr:col>20</xdr:col>
      <xdr:colOff>0</xdr:colOff>
      <xdr:row>37</xdr:row>
      <xdr:rowOff>141941</xdr:rowOff>
    </xdr:to>
    <xdr:cxnSp macro="">
      <xdr:nvCxnSpPr>
        <xdr:cNvPr id="36" name="Łącznik prosty ze strzałką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CxnSpPr/>
      </xdr:nvCxnSpPr>
      <xdr:spPr>
        <a:xfrm>
          <a:off x="7504545" y="6015182"/>
          <a:ext cx="6038273" cy="339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21</xdr:col>
      <xdr:colOff>565727</xdr:colOff>
      <xdr:row>39</xdr:row>
      <xdr:rowOff>161636</xdr:rowOff>
    </xdr:from>
    <xdr:to>
      <xdr:col>26</xdr:col>
      <xdr:colOff>11546</xdr:colOff>
      <xdr:row>40</xdr:row>
      <xdr:rowOff>-1</xdr:rowOff>
    </xdr:to>
    <xdr:cxnSp macro="">
      <xdr:nvCxnSpPr>
        <xdr:cNvPr id="42" name="Łącznik prosty ze strzałką 4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CxnSpPr/>
      </xdr:nvCxnSpPr>
      <xdr:spPr>
        <a:xfrm flipV="1">
          <a:off x="14882091" y="4860636"/>
          <a:ext cx="2563091" cy="1154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614219</xdr:colOff>
      <xdr:row>46</xdr:row>
      <xdr:rowOff>2309</xdr:rowOff>
    </xdr:from>
    <xdr:to>
      <xdr:col>26</xdr:col>
      <xdr:colOff>614219</xdr:colOff>
      <xdr:row>47</xdr:row>
      <xdr:rowOff>154875</xdr:rowOff>
    </xdr:to>
    <xdr:cxnSp macro="">
      <xdr:nvCxnSpPr>
        <xdr:cNvPr id="46" name="Łącznik prosty ze strzałką 45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CxnSpPr/>
      </xdr:nvCxnSpPr>
      <xdr:spPr>
        <a:xfrm>
          <a:off x="18025919" y="5933209"/>
          <a:ext cx="0" cy="311316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69273</xdr:colOff>
      <xdr:row>38</xdr:row>
      <xdr:rowOff>57727</xdr:rowOff>
    </xdr:from>
    <xdr:to>
      <xdr:col>7</xdr:col>
      <xdr:colOff>488373</xdr:colOff>
      <xdr:row>38</xdr:row>
      <xdr:rowOff>57727</xdr:rowOff>
    </xdr:to>
    <xdr:cxnSp macro="">
      <xdr:nvCxnSpPr>
        <xdr:cNvPr id="47" name="Łącznik prosty ze strzałką 46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CxnSpPr/>
      </xdr:nvCxnSpPr>
      <xdr:spPr>
        <a:xfrm>
          <a:off x="5511223" y="4540827"/>
          <a:ext cx="419100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68464</xdr:colOff>
      <xdr:row>17</xdr:row>
      <xdr:rowOff>92364</xdr:rowOff>
    </xdr:from>
    <xdr:to>
      <xdr:col>7</xdr:col>
      <xdr:colOff>487564</xdr:colOff>
      <xdr:row>17</xdr:row>
      <xdr:rowOff>92364</xdr:rowOff>
    </xdr:to>
    <xdr:cxnSp macro="">
      <xdr:nvCxnSpPr>
        <xdr:cNvPr id="48" name="Łącznik prosty ze strzałką 47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CxnSpPr/>
      </xdr:nvCxnSpPr>
      <xdr:spPr>
        <a:xfrm>
          <a:off x="5510414" y="1203614"/>
          <a:ext cx="419100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105410</xdr:colOff>
      <xdr:row>17</xdr:row>
      <xdr:rowOff>71582</xdr:rowOff>
    </xdr:from>
    <xdr:to>
      <xdr:col>10</xdr:col>
      <xdr:colOff>524510</xdr:colOff>
      <xdr:row>17</xdr:row>
      <xdr:rowOff>71582</xdr:rowOff>
    </xdr:to>
    <xdr:cxnSp macro="">
      <xdr:nvCxnSpPr>
        <xdr:cNvPr id="49" name="Łącznik prosty ze strzałką 48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CxnSpPr/>
      </xdr:nvCxnSpPr>
      <xdr:spPr>
        <a:xfrm>
          <a:off x="7566660" y="1182832"/>
          <a:ext cx="419100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119264</xdr:colOff>
      <xdr:row>17</xdr:row>
      <xdr:rowOff>73891</xdr:rowOff>
    </xdr:from>
    <xdr:to>
      <xdr:col>13</xdr:col>
      <xdr:colOff>538364</xdr:colOff>
      <xdr:row>17</xdr:row>
      <xdr:rowOff>73891</xdr:rowOff>
    </xdr:to>
    <xdr:cxnSp macro="">
      <xdr:nvCxnSpPr>
        <xdr:cNvPr id="50" name="Łącznik prosty ze strzałką 49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CxnSpPr/>
      </xdr:nvCxnSpPr>
      <xdr:spPr>
        <a:xfrm>
          <a:off x="9510914" y="1185141"/>
          <a:ext cx="419100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20</xdr:col>
      <xdr:colOff>400875</xdr:colOff>
      <xdr:row>17</xdr:row>
      <xdr:rowOff>69273</xdr:rowOff>
    </xdr:from>
    <xdr:to>
      <xdr:col>20</xdr:col>
      <xdr:colOff>415637</xdr:colOff>
      <xdr:row>27</xdr:row>
      <xdr:rowOff>55421</xdr:rowOff>
    </xdr:to>
    <xdr:cxnSp macro="">
      <xdr:nvCxnSpPr>
        <xdr:cNvPr id="52" name="Łącznik prosty 51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CxnSpPr/>
      </xdr:nvCxnSpPr>
      <xdr:spPr>
        <a:xfrm flipV="1">
          <a:off x="14078775" y="1180523"/>
          <a:ext cx="14762" cy="1592698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11545</xdr:colOff>
      <xdr:row>17</xdr:row>
      <xdr:rowOff>57727</xdr:rowOff>
    </xdr:from>
    <xdr:to>
      <xdr:col>20</xdr:col>
      <xdr:colOff>427182</xdr:colOff>
      <xdr:row>17</xdr:row>
      <xdr:rowOff>68122</xdr:rowOff>
    </xdr:to>
    <xdr:cxnSp macro="">
      <xdr:nvCxnSpPr>
        <xdr:cNvPr id="53" name="Łącznik prosty 52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CxnSpPr/>
      </xdr:nvCxnSpPr>
      <xdr:spPr>
        <a:xfrm flipV="1">
          <a:off x="13067145" y="1168977"/>
          <a:ext cx="1037937" cy="1039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68464</xdr:colOff>
      <xdr:row>8</xdr:row>
      <xdr:rowOff>92364</xdr:rowOff>
    </xdr:from>
    <xdr:to>
      <xdr:col>7</xdr:col>
      <xdr:colOff>487564</xdr:colOff>
      <xdr:row>8</xdr:row>
      <xdr:rowOff>92364</xdr:rowOff>
    </xdr:to>
    <xdr:cxnSp macro="">
      <xdr:nvCxnSpPr>
        <xdr:cNvPr id="54" name="Łącznik prosty ze strzałką 53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CxnSpPr/>
      </xdr:nvCxnSpPr>
      <xdr:spPr>
        <a:xfrm>
          <a:off x="5510414" y="568614"/>
          <a:ext cx="419100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105410</xdr:colOff>
      <xdr:row>8</xdr:row>
      <xdr:rowOff>71582</xdr:rowOff>
    </xdr:from>
    <xdr:to>
      <xdr:col>10</xdr:col>
      <xdr:colOff>524510</xdr:colOff>
      <xdr:row>8</xdr:row>
      <xdr:rowOff>71582</xdr:rowOff>
    </xdr:to>
    <xdr:cxnSp macro="">
      <xdr:nvCxnSpPr>
        <xdr:cNvPr id="55" name="Łącznik prosty ze strzałką 54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CxnSpPr/>
      </xdr:nvCxnSpPr>
      <xdr:spPr>
        <a:xfrm>
          <a:off x="7566660" y="547832"/>
          <a:ext cx="419100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119264</xdr:colOff>
      <xdr:row>8</xdr:row>
      <xdr:rowOff>73891</xdr:rowOff>
    </xdr:from>
    <xdr:to>
      <xdr:col>13</xdr:col>
      <xdr:colOff>538364</xdr:colOff>
      <xdr:row>8</xdr:row>
      <xdr:rowOff>73891</xdr:rowOff>
    </xdr:to>
    <xdr:cxnSp macro="">
      <xdr:nvCxnSpPr>
        <xdr:cNvPr id="56" name="Łącznik prosty ze strzałką 55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CxnSpPr/>
      </xdr:nvCxnSpPr>
      <xdr:spPr>
        <a:xfrm>
          <a:off x="9510914" y="550141"/>
          <a:ext cx="419100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525664</xdr:colOff>
      <xdr:row>5</xdr:row>
      <xdr:rowOff>57728</xdr:rowOff>
    </xdr:from>
    <xdr:to>
      <xdr:col>14</xdr:col>
      <xdr:colOff>531090</xdr:colOff>
      <xdr:row>6</xdr:row>
      <xdr:rowOff>122381</xdr:rowOff>
    </xdr:to>
    <xdr:cxnSp macro="">
      <xdr:nvCxnSpPr>
        <xdr:cNvPr id="57" name="Łącznik prosty ze strzałką 56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CxnSpPr/>
      </xdr:nvCxnSpPr>
      <xdr:spPr>
        <a:xfrm flipV="1">
          <a:off x="10547119" y="704273"/>
          <a:ext cx="5426" cy="387926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11545</xdr:colOff>
      <xdr:row>8</xdr:row>
      <xdr:rowOff>57727</xdr:rowOff>
    </xdr:from>
    <xdr:to>
      <xdr:col>20</xdr:col>
      <xdr:colOff>427182</xdr:colOff>
      <xdr:row>8</xdr:row>
      <xdr:rowOff>68122</xdr:rowOff>
    </xdr:to>
    <xdr:cxnSp macro="">
      <xdr:nvCxnSpPr>
        <xdr:cNvPr id="58" name="Łącznik prosty 57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CxnSpPr/>
      </xdr:nvCxnSpPr>
      <xdr:spPr>
        <a:xfrm flipV="1">
          <a:off x="13067145" y="533977"/>
          <a:ext cx="1037937" cy="1039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20</xdr:col>
      <xdr:colOff>404091</xdr:colOff>
      <xdr:row>8</xdr:row>
      <xdr:rowOff>46183</xdr:rowOff>
    </xdr:from>
    <xdr:to>
      <xdr:col>20</xdr:col>
      <xdr:colOff>418853</xdr:colOff>
      <xdr:row>17</xdr:row>
      <xdr:rowOff>46182</xdr:rowOff>
    </xdr:to>
    <xdr:cxnSp macro="">
      <xdr:nvCxnSpPr>
        <xdr:cNvPr id="59" name="Łącznik prosty 58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CxnSpPr/>
      </xdr:nvCxnSpPr>
      <xdr:spPr>
        <a:xfrm flipV="1">
          <a:off x="14081991" y="522433"/>
          <a:ext cx="14762" cy="634999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28</xdr:col>
      <xdr:colOff>439970</xdr:colOff>
      <xdr:row>29</xdr:row>
      <xdr:rowOff>26487</xdr:rowOff>
    </xdr:from>
    <xdr:to>
      <xdr:col>28</xdr:col>
      <xdr:colOff>447440</xdr:colOff>
      <xdr:row>30</xdr:row>
      <xdr:rowOff>131076</xdr:rowOff>
    </xdr:to>
    <xdr:cxnSp macro="">
      <xdr:nvCxnSpPr>
        <xdr:cNvPr id="60" name="Łącznik prosty ze strzałką 59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CxnSpPr/>
      </xdr:nvCxnSpPr>
      <xdr:spPr>
        <a:xfrm flipH="1" flipV="1">
          <a:off x="17668314" y="4610393"/>
          <a:ext cx="7470" cy="271277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68464</xdr:colOff>
      <xdr:row>3</xdr:row>
      <xdr:rowOff>92364</xdr:rowOff>
    </xdr:from>
    <xdr:to>
      <xdr:col>7</xdr:col>
      <xdr:colOff>487564</xdr:colOff>
      <xdr:row>3</xdr:row>
      <xdr:rowOff>92364</xdr:rowOff>
    </xdr:to>
    <xdr:cxnSp macro="">
      <xdr:nvCxnSpPr>
        <xdr:cNvPr id="21" name="Łącznik prosty ze strzałką 20">
          <a:extLst>
            <a:ext uri="{FF2B5EF4-FFF2-40B4-BE49-F238E27FC236}">
              <a16:creationId xmlns:a16="http://schemas.microsoft.com/office/drawing/2014/main" id="{CF76E439-48F3-44AC-8D20-5547FF9E2092}"/>
            </a:ext>
          </a:extLst>
        </xdr:cNvPr>
        <xdr:cNvCxnSpPr/>
      </xdr:nvCxnSpPr>
      <xdr:spPr>
        <a:xfrm>
          <a:off x="5517919" y="1385455"/>
          <a:ext cx="419100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127000</xdr:colOff>
      <xdr:row>3</xdr:row>
      <xdr:rowOff>57727</xdr:rowOff>
    </xdr:from>
    <xdr:to>
      <xdr:col>14</xdr:col>
      <xdr:colOff>0</xdr:colOff>
      <xdr:row>3</xdr:row>
      <xdr:rowOff>57728</xdr:rowOff>
    </xdr:to>
    <xdr:cxnSp macro="">
      <xdr:nvCxnSpPr>
        <xdr:cNvPr id="61" name="Łącznik prosty ze strzałką 60">
          <a:extLst>
            <a:ext uri="{FF2B5EF4-FFF2-40B4-BE49-F238E27FC236}">
              <a16:creationId xmlns:a16="http://schemas.microsoft.com/office/drawing/2014/main" id="{5D516BFF-3C05-41C3-B2B4-3D70E7F540BA}"/>
            </a:ext>
          </a:extLst>
        </xdr:cNvPr>
        <xdr:cNvCxnSpPr/>
      </xdr:nvCxnSpPr>
      <xdr:spPr>
        <a:xfrm flipV="1">
          <a:off x="7596909" y="381000"/>
          <a:ext cx="2424546" cy="1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55187</xdr:colOff>
      <xdr:row>3</xdr:row>
      <xdr:rowOff>42141</xdr:rowOff>
    </xdr:from>
    <xdr:to>
      <xdr:col>16</xdr:col>
      <xdr:colOff>474287</xdr:colOff>
      <xdr:row>3</xdr:row>
      <xdr:rowOff>42141</xdr:rowOff>
    </xdr:to>
    <xdr:cxnSp macro="">
      <xdr:nvCxnSpPr>
        <xdr:cNvPr id="64" name="Łącznik prosty ze strzałką 63">
          <a:extLst>
            <a:ext uri="{FF2B5EF4-FFF2-40B4-BE49-F238E27FC236}">
              <a16:creationId xmlns:a16="http://schemas.microsoft.com/office/drawing/2014/main" id="{6E553297-027D-49B2-813A-AB23FDB8DB33}"/>
            </a:ext>
          </a:extLst>
        </xdr:cNvPr>
        <xdr:cNvCxnSpPr/>
      </xdr:nvCxnSpPr>
      <xdr:spPr>
        <a:xfrm>
          <a:off x="11323551" y="365414"/>
          <a:ext cx="419100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588819</xdr:colOff>
      <xdr:row>5</xdr:row>
      <xdr:rowOff>43872</xdr:rowOff>
    </xdr:from>
    <xdr:to>
      <xdr:col>17</xdr:col>
      <xdr:colOff>597247</xdr:colOff>
      <xdr:row>6</xdr:row>
      <xdr:rowOff>103909</xdr:rowOff>
    </xdr:to>
    <xdr:cxnSp macro="">
      <xdr:nvCxnSpPr>
        <xdr:cNvPr id="65" name="Łącznik prosty ze strzałką 64">
          <a:extLst>
            <a:ext uri="{FF2B5EF4-FFF2-40B4-BE49-F238E27FC236}">
              <a16:creationId xmlns:a16="http://schemas.microsoft.com/office/drawing/2014/main" id="{6E8B1CB9-15D3-474E-8392-ABB1DA2652E2}"/>
            </a:ext>
          </a:extLst>
        </xdr:cNvPr>
        <xdr:cNvCxnSpPr/>
      </xdr:nvCxnSpPr>
      <xdr:spPr>
        <a:xfrm flipH="1">
          <a:off x="12411364" y="690417"/>
          <a:ext cx="8428" cy="38331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68464</xdr:colOff>
      <xdr:row>12</xdr:row>
      <xdr:rowOff>92364</xdr:rowOff>
    </xdr:from>
    <xdr:to>
      <xdr:col>7</xdr:col>
      <xdr:colOff>487564</xdr:colOff>
      <xdr:row>12</xdr:row>
      <xdr:rowOff>92364</xdr:rowOff>
    </xdr:to>
    <xdr:cxnSp macro="">
      <xdr:nvCxnSpPr>
        <xdr:cNvPr id="68" name="Łącznik prosty ze strzałką 67">
          <a:extLst>
            <a:ext uri="{FF2B5EF4-FFF2-40B4-BE49-F238E27FC236}">
              <a16:creationId xmlns:a16="http://schemas.microsoft.com/office/drawing/2014/main" id="{2EDC19C4-321C-497D-A944-C3A02AD189D4}"/>
            </a:ext>
          </a:extLst>
        </xdr:cNvPr>
        <xdr:cNvCxnSpPr/>
      </xdr:nvCxnSpPr>
      <xdr:spPr>
        <a:xfrm>
          <a:off x="5517919" y="415637"/>
          <a:ext cx="419100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127000</xdr:colOff>
      <xdr:row>12</xdr:row>
      <xdr:rowOff>57727</xdr:rowOff>
    </xdr:from>
    <xdr:to>
      <xdr:col>14</xdr:col>
      <xdr:colOff>0</xdr:colOff>
      <xdr:row>12</xdr:row>
      <xdr:rowOff>57728</xdr:rowOff>
    </xdr:to>
    <xdr:cxnSp macro="">
      <xdr:nvCxnSpPr>
        <xdr:cNvPr id="69" name="Łącznik prosty ze strzałką 68">
          <a:extLst>
            <a:ext uri="{FF2B5EF4-FFF2-40B4-BE49-F238E27FC236}">
              <a16:creationId xmlns:a16="http://schemas.microsoft.com/office/drawing/2014/main" id="{18930D8C-C1CD-4549-A0CB-6F640C026BF6}"/>
            </a:ext>
          </a:extLst>
        </xdr:cNvPr>
        <xdr:cNvCxnSpPr/>
      </xdr:nvCxnSpPr>
      <xdr:spPr>
        <a:xfrm flipV="1">
          <a:off x="7596909" y="381000"/>
          <a:ext cx="2424546" cy="1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55187</xdr:colOff>
      <xdr:row>12</xdr:row>
      <xdr:rowOff>42141</xdr:rowOff>
    </xdr:from>
    <xdr:to>
      <xdr:col>16</xdr:col>
      <xdr:colOff>474287</xdr:colOff>
      <xdr:row>12</xdr:row>
      <xdr:rowOff>42141</xdr:rowOff>
    </xdr:to>
    <xdr:cxnSp macro="">
      <xdr:nvCxnSpPr>
        <xdr:cNvPr id="70" name="Łącznik prosty ze strzałką 69">
          <a:extLst>
            <a:ext uri="{FF2B5EF4-FFF2-40B4-BE49-F238E27FC236}">
              <a16:creationId xmlns:a16="http://schemas.microsoft.com/office/drawing/2014/main" id="{B40BFB16-E75C-42E9-BC81-438260522EDA}"/>
            </a:ext>
          </a:extLst>
        </xdr:cNvPr>
        <xdr:cNvCxnSpPr/>
      </xdr:nvCxnSpPr>
      <xdr:spPr>
        <a:xfrm>
          <a:off x="11323551" y="365414"/>
          <a:ext cx="419100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562609</xdr:colOff>
      <xdr:row>14</xdr:row>
      <xdr:rowOff>60037</xdr:rowOff>
    </xdr:from>
    <xdr:to>
      <xdr:col>14</xdr:col>
      <xdr:colOff>568035</xdr:colOff>
      <xdr:row>15</xdr:row>
      <xdr:rowOff>124691</xdr:rowOff>
    </xdr:to>
    <xdr:cxnSp macro="">
      <xdr:nvCxnSpPr>
        <xdr:cNvPr id="71" name="Łącznik prosty ze strzałką 70">
          <a:extLst>
            <a:ext uri="{FF2B5EF4-FFF2-40B4-BE49-F238E27FC236}">
              <a16:creationId xmlns:a16="http://schemas.microsoft.com/office/drawing/2014/main" id="{442C07C4-976D-4C72-9A51-E5C1D121D056}"/>
            </a:ext>
          </a:extLst>
        </xdr:cNvPr>
        <xdr:cNvCxnSpPr/>
      </xdr:nvCxnSpPr>
      <xdr:spPr>
        <a:xfrm flipV="1">
          <a:off x="10584064" y="2161310"/>
          <a:ext cx="5426" cy="22629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577273</xdr:colOff>
      <xdr:row>14</xdr:row>
      <xdr:rowOff>23090</xdr:rowOff>
    </xdr:from>
    <xdr:to>
      <xdr:col>17</xdr:col>
      <xdr:colOff>588819</xdr:colOff>
      <xdr:row>15</xdr:row>
      <xdr:rowOff>127000</xdr:rowOff>
    </xdr:to>
    <xdr:cxnSp macro="">
      <xdr:nvCxnSpPr>
        <xdr:cNvPr id="72" name="Łącznik prosty ze strzałką 71">
          <a:extLst>
            <a:ext uri="{FF2B5EF4-FFF2-40B4-BE49-F238E27FC236}">
              <a16:creationId xmlns:a16="http://schemas.microsoft.com/office/drawing/2014/main" id="{A0EFF9BD-4180-41B1-8C3F-460A07BE21D0}"/>
            </a:ext>
          </a:extLst>
        </xdr:cNvPr>
        <xdr:cNvCxnSpPr/>
      </xdr:nvCxnSpPr>
      <xdr:spPr>
        <a:xfrm>
          <a:off x="12399818" y="2124363"/>
          <a:ext cx="11546" cy="265546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18143</xdr:colOff>
      <xdr:row>32</xdr:row>
      <xdr:rowOff>11546</xdr:rowOff>
    </xdr:from>
    <xdr:to>
      <xdr:col>20</xdr:col>
      <xdr:colOff>96744</xdr:colOff>
      <xdr:row>32</xdr:row>
      <xdr:rowOff>27215</xdr:rowOff>
    </xdr:to>
    <xdr:cxnSp macro="">
      <xdr:nvCxnSpPr>
        <xdr:cNvPr id="40" name="Łącznik prosty 39">
          <a:extLst>
            <a:ext uri="{FF2B5EF4-FFF2-40B4-BE49-F238E27FC236}">
              <a16:creationId xmlns:a16="http://schemas.microsoft.com/office/drawing/2014/main" id="{4F90400C-45F6-4E24-BD7B-1C70FE58063A}"/>
            </a:ext>
          </a:extLst>
        </xdr:cNvPr>
        <xdr:cNvCxnSpPr/>
      </xdr:nvCxnSpPr>
      <xdr:spPr>
        <a:xfrm flipV="1">
          <a:off x="7474857" y="5118760"/>
          <a:ext cx="6247173" cy="15669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20</xdr:col>
      <xdr:colOff>392546</xdr:colOff>
      <xdr:row>3</xdr:row>
      <xdr:rowOff>103910</xdr:rowOff>
    </xdr:from>
    <xdr:to>
      <xdr:col>22</xdr:col>
      <xdr:colOff>46182</xdr:colOff>
      <xdr:row>5</xdr:row>
      <xdr:rowOff>57727</xdr:rowOff>
    </xdr:to>
    <xdr:sp macro="" textlink="">
      <xdr:nvSpPr>
        <xdr:cNvPr id="2" name="Strzałka: w prawo 1">
          <a:extLst>
            <a:ext uri="{FF2B5EF4-FFF2-40B4-BE49-F238E27FC236}">
              <a16:creationId xmlns:a16="http://schemas.microsoft.com/office/drawing/2014/main" id="{9A937505-8F83-1890-C61A-578CF3A8CA47}"/>
            </a:ext>
          </a:extLst>
        </xdr:cNvPr>
        <xdr:cNvSpPr/>
      </xdr:nvSpPr>
      <xdr:spPr>
        <a:xfrm rot="20646081">
          <a:off x="13935364" y="623455"/>
          <a:ext cx="877454" cy="277090"/>
        </a:xfrm>
        <a:prstGeom prst="rightArrow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35</xdr:col>
      <xdr:colOff>290945</xdr:colOff>
      <xdr:row>35</xdr:row>
      <xdr:rowOff>106220</xdr:rowOff>
    </xdr:from>
    <xdr:to>
      <xdr:col>36</xdr:col>
      <xdr:colOff>556490</xdr:colOff>
      <xdr:row>37</xdr:row>
      <xdr:rowOff>60037</xdr:rowOff>
    </xdr:to>
    <xdr:sp macro="" textlink="">
      <xdr:nvSpPr>
        <xdr:cNvPr id="3" name="Strzałka: w prawo 2">
          <a:extLst>
            <a:ext uri="{FF2B5EF4-FFF2-40B4-BE49-F238E27FC236}">
              <a16:creationId xmlns:a16="http://schemas.microsoft.com/office/drawing/2014/main" id="{7D4F37AB-4118-4B36-B760-0704C76C18CD}"/>
            </a:ext>
          </a:extLst>
        </xdr:cNvPr>
        <xdr:cNvSpPr/>
      </xdr:nvSpPr>
      <xdr:spPr>
        <a:xfrm rot="20646081">
          <a:off x="22573672" y="5821220"/>
          <a:ext cx="877454" cy="277090"/>
        </a:xfrm>
        <a:prstGeom prst="rightArrow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23</xdr:col>
      <xdr:colOff>0</xdr:colOff>
      <xdr:row>29</xdr:row>
      <xdr:rowOff>3035</xdr:rowOff>
    </xdr:from>
    <xdr:to>
      <xdr:col>23</xdr:col>
      <xdr:colOff>3946</xdr:colOff>
      <xdr:row>31</xdr:row>
      <xdr:rowOff>90407</xdr:rowOff>
    </xdr:to>
    <xdr:cxnSp macro="">
      <xdr:nvCxnSpPr>
        <xdr:cNvPr id="4" name="Łącznik prosty ze strzałką 3">
          <a:extLst>
            <a:ext uri="{FF2B5EF4-FFF2-40B4-BE49-F238E27FC236}">
              <a16:creationId xmlns:a16="http://schemas.microsoft.com/office/drawing/2014/main" id="{D1A99BD4-EAE8-4134-9D3E-AD94ACD143B1}"/>
            </a:ext>
          </a:extLst>
        </xdr:cNvPr>
        <xdr:cNvCxnSpPr/>
      </xdr:nvCxnSpPr>
      <xdr:spPr>
        <a:xfrm flipV="1">
          <a:off x="14787966" y="4636382"/>
          <a:ext cx="3946" cy="410254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23</xdr:col>
      <xdr:colOff>5953</xdr:colOff>
      <xdr:row>31</xdr:row>
      <xdr:rowOff>89296</xdr:rowOff>
    </xdr:from>
    <xdr:to>
      <xdr:col>25</xdr:col>
      <xdr:colOff>583406</xdr:colOff>
      <xdr:row>31</xdr:row>
      <xdr:rowOff>95249</xdr:rowOff>
    </xdr:to>
    <xdr:cxnSp macro="">
      <xdr:nvCxnSpPr>
        <xdr:cNvPr id="8" name="Łącznik prosty 7">
          <a:extLst>
            <a:ext uri="{FF2B5EF4-FFF2-40B4-BE49-F238E27FC236}">
              <a16:creationId xmlns:a16="http://schemas.microsoft.com/office/drawing/2014/main" id="{76512916-BAD8-426B-BCA4-871C17DE67B1}"/>
            </a:ext>
          </a:extLst>
        </xdr:cNvPr>
        <xdr:cNvCxnSpPr/>
      </xdr:nvCxnSpPr>
      <xdr:spPr>
        <a:xfrm flipH="1" flipV="1">
          <a:off x="14763750" y="5066109"/>
          <a:ext cx="1756172" cy="5953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21</xdr:col>
      <xdr:colOff>415637</xdr:colOff>
      <xdr:row>24</xdr:row>
      <xdr:rowOff>150091</xdr:rowOff>
    </xdr:from>
    <xdr:to>
      <xdr:col>21</xdr:col>
      <xdr:colOff>427182</xdr:colOff>
      <xdr:row>32</xdr:row>
      <xdr:rowOff>150090</xdr:rowOff>
    </xdr:to>
    <xdr:cxnSp macro="">
      <xdr:nvCxnSpPr>
        <xdr:cNvPr id="5" name="Łącznik prosty ze strzałką 4">
          <a:extLst>
            <a:ext uri="{FF2B5EF4-FFF2-40B4-BE49-F238E27FC236}">
              <a16:creationId xmlns:a16="http://schemas.microsoft.com/office/drawing/2014/main" id="{444C4C8A-AF68-4A34-B5DF-29A96201EB7D}"/>
            </a:ext>
          </a:extLst>
        </xdr:cNvPr>
        <xdr:cNvCxnSpPr/>
      </xdr:nvCxnSpPr>
      <xdr:spPr>
        <a:xfrm flipV="1">
          <a:off x="14570364" y="4064000"/>
          <a:ext cx="11545" cy="1316181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  <pageSetUpPr fitToPage="1"/>
  </sheetPr>
  <dimension ref="A1:AL63"/>
  <sheetViews>
    <sheetView showGridLines="0" tabSelected="1" zoomScale="55" zoomScaleNormal="55" workbookViewId="0">
      <selection activeCell="M59" sqref="M59"/>
    </sheetView>
  </sheetViews>
  <sheetFormatPr defaultColWidth="8.81640625" defaultRowHeight="12.5" x14ac:dyDescent="0.25"/>
  <cols>
    <col min="1" max="1" width="10.1796875" style="1" customWidth="1"/>
    <col min="2" max="2" width="19.54296875" style="1" customWidth="1"/>
    <col min="3" max="3" width="11" style="2" customWidth="1"/>
    <col min="4" max="4" width="10.453125" style="2" bestFit="1" customWidth="1"/>
    <col min="5" max="5" width="8.81640625" style="2"/>
    <col min="6" max="7" width="8.81640625" style="1"/>
    <col min="8" max="8" width="9.1796875" style="1" customWidth="1"/>
    <col min="9" max="11" width="9.81640625" style="1" customWidth="1"/>
    <col min="12" max="16" width="8.81640625" style="1"/>
    <col min="17" max="17" width="7.81640625" style="1" customWidth="1"/>
    <col min="18" max="24" width="8.81640625" style="1"/>
    <col min="25" max="25" width="3.26953125" style="1" customWidth="1"/>
    <col min="26" max="27" width="8.81640625" style="1"/>
    <col min="28" max="28" width="2.54296875" style="1" customWidth="1"/>
    <col min="29" max="16384" width="8.81640625" style="1"/>
  </cols>
  <sheetData>
    <row r="1" spans="4:23" ht="13" thickBot="1" x14ac:dyDescent="0.3"/>
    <row r="2" spans="4:23" x14ac:dyDescent="0.25">
      <c r="D2" s="74"/>
      <c r="E2" s="75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  <c r="U2" s="77"/>
    </row>
    <row r="3" spans="4:23" ht="15" customHeight="1" x14ac:dyDescent="0.25">
      <c r="D3" s="98" t="s">
        <v>181</v>
      </c>
      <c r="E3" s="99"/>
      <c r="F3" s="115" t="s">
        <v>166</v>
      </c>
      <c r="G3" s="116"/>
      <c r="I3" s="121" t="s">
        <v>167</v>
      </c>
      <c r="J3" s="122"/>
      <c r="O3" s="121" t="s">
        <v>172</v>
      </c>
      <c r="P3" s="127"/>
      <c r="R3" s="121" t="s">
        <v>171</v>
      </c>
      <c r="S3" s="127"/>
      <c r="U3" s="78"/>
      <c r="W3" s="1" t="s">
        <v>185</v>
      </c>
    </row>
    <row r="4" spans="4:23" x14ac:dyDescent="0.25">
      <c r="D4" s="98"/>
      <c r="E4" s="99"/>
      <c r="F4" s="117"/>
      <c r="G4" s="118"/>
      <c r="I4" s="123"/>
      <c r="J4" s="124"/>
      <c r="O4" s="128"/>
      <c r="P4" s="129"/>
      <c r="R4" s="128"/>
      <c r="S4" s="129"/>
      <c r="U4" s="78"/>
      <c r="W4" s="1" t="s">
        <v>186</v>
      </c>
    </row>
    <row r="5" spans="4:23" x14ac:dyDescent="0.25">
      <c r="D5" s="98"/>
      <c r="E5" s="99"/>
      <c r="F5" s="119"/>
      <c r="G5" s="120"/>
      <c r="I5" s="125"/>
      <c r="J5" s="126"/>
      <c r="O5" s="130"/>
      <c r="P5" s="131"/>
      <c r="R5" s="130"/>
      <c r="S5" s="131"/>
      <c r="U5" s="78"/>
      <c r="W5" s="1" t="s">
        <v>187</v>
      </c>
    </row>
    <row r="6" spans="4:23" ht="12.65" customHeight="1" x14ac:dyDescent="0.25">
      <c r="D6" s="79"/>
      <c r="U6" s="78"/>
      <c r="W6" s="1" t="s">
        <v>188</v>
      </c>
    </row>
    <row r="7" spans="4:23" ht="12.65" customHeight="1" x14ac:dyDescent="0.25">
      <c r="D7" s="79"/>
      <c r="U7" s="78"/>
    </row>
    <row r="8" spans="4:23" ht="12.65" customHeight="1" x14ac:dyDescent="0.25">
      <c r="D8" s="98" t="s">
        <v>181</v>
      </c>
      <c r="E8" s="99"/>
      <c r="F8" s="115" t="s">
        <v>168</v>
      </c>
      <c r="G8" s="116"/>
      <c r="I8" s="121" t="s">
        <v>170</v>
      </c>
      <c r="J8" s="122"/>
      <c r="L8" s="121" t="s">
        <v>169</v>
      </c>
      <c r="M8" s="122"/>
      <c r="O8" s="159" t="s">
        <v>167</v>
      </c>
      <c r="P8" s="127"/>
      <c r="R8" s="121" t="s">
        <v>10</v>
      </c>
      <c r="S8" s="127"/>
      <c r="U8" s="78"/>
    </row>
    <row r="9" spans="4:23" ht="12.65" customHeight="1" x14ac:dyDescent="0.25">
      <c r="D9" s="98"/>
      <c r="E9" s="99"/>
      <c r="F9" s="117"/>
      <c r="G9" s="118"/>
      <c r="I9" s="123"/>
      <c r="J9" s="124"/>
      <c r="L9" s="123"/>
      <c r="M9" s="124"/>
      <c r="O9" s="128"/>
      <c r="P9" s="129"/>
      <c r="R9" s="128"/>
      <c r="S9" s="129"/>
      <c r="U9" s="78"/>
    </row>
    <row r="10" spans="4:23" ht="12.65" customHeight="1" x14ac:dyDescent="0.25">
      <c r="D10" s="98"/>
      <c r="E10" s="99"/>
      <c r="F10" s="119"/>
      <c r="G10" s="120"/>
      <c r="I10" s="125"/>
      <c r="J10" s="126"/>
      <c r="L10" s="125"/>
      <c r="M10" s="126"/>
      <c r="O10" s="130"/>
      <c r="P10" s="131"/>
      <c r="R10" s="130"/>
      <c r="S10" s="131"/>
      <c r="U10" s="78"/>
    </row>
    <row r="11" spans="4:23" x14ac:dyDescent="0.25">
      <c r="D11" s="79"/>
      <c r="U11" s="78"/>
    </row>
    <row r="12" spans="4:23" x14ac:dyDescent="0.25">
      <c r="D12" s="98" t="s">
        <v>181</v>
      </c>
      <c r="E12" s="99"/>
      <c r="F12" s="115" t="s">
        <v>173</v>
      </c>
      <c r="G12" s="116"/>
      <c r="I12" s="121" t="s">
        <v>167</v>
      </c>
      <c r="J12" s="122"/>
      <c r="O12" s="121" t="s">
        <v>172</v>
      </c>
      <c r="P12" s="127"/>
      <c r="R12" s="121" t="s">
        <v>174</v>
      </c>
      <c r="S12" s="127"/>
      <c r="U12" s="78"/>
    </row>
    <row r="13" spans="4:23" x14ac:dyDescent="0.25">
      <c r="D13" s="98"/>
      <c r="E13" s="99"/>
      <c r="F13" s="117"/>
      <c r="G13" s="118"/>
      <c r="I13" s="123"/>
      <c r="J13" s="124"/>
      <c r="O13" s="128"/>
      <c r="P13" s="129"/>
      <c r="R13" s="128"/>
      <c r="S13" s="129"/>
      <c r="U13" s="78"/>
    </row>
    <row r="14" spans="4:23" x14ac:dyDescent="0.25">
      <c r="D14" s="98"/>
      <c r="E14" s="99"/>
      <c r="F14" s="119"/>
      <c r="G14" s="120"/>
      <c r="I14" s="125"/>
      <c r="J14" s="126"/>
      <c r="O14" s="130"/>
      <c r="P14" s="131"/>
      <c r="R14" s="130"/>
      <c r="S14" s="131"/>
      <c r="U14" s="78"/>
    </row>
    <row r="15" spans="4:23" x14ac:dyDescent="0.25">
      <c r="D15" s="79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78"/>
    </row>
    <row r="16" spans="4:23" x14ac:dyDescent="0.25">
      <c r="D16" s="79"/>
      <c r="U16" s="78"/>
    </row>
    <row r="17" spans="1:35" ht="12.65" customHeight="1" x14ac:dyDescent="0.25">
      <c r="D17" s="98" t="s">
        <v>181</v>
      </c>
      <c r="E17" s="99"/>
      <c r="F17" s="115" t="s">
        <v>182</v>
      </c>
      <c r="G17" s="116"/>
      <c r="I17" s="121" t="s">
        <v>170</v>
      </c>
      <c r="J17" s="122"/>
      <c r="L17" s="121" t="s">
        <v>169</v>
      </c>
      <c r="M17" s="122"/>
      <c r="O17" s="121" t="s">
        <v>167</v>
      </c>
      <c r="P17" s="122"/>
      <c r="R17" s="121" t="s">
        <v>10</v>
      </c>
      <c r="S17" s="127"/>
      <c r="U17" s="78"/>
    </row>
    <row r="18" spans="1:35" ht="12.65" customHeight="1" x14ac:dyDescent="0.25">
      <c r="D18" s="98"/>
      <c r="E18" s="99"/>
      <c r="F18" s="117"/>
      <c r="G18" s="118"/>
      <c r="I18" s="123"/>
      <c r="J18" s="124"/>
      <c r="L18" s="123"/>
      <c r="M18" s="124"/>
      <c r="O18" s="123"/>
      <c r="P18" s="124"/>
      <c r="R18" s="128"/>
      <c r="S18" s="129"/>
      <c r="U18" s="78"/>
    </row>
    <row r="19" spans="1:35" ht="12.65" customHeight="1" x14ac:dyDescent="0.25">
      <c r="D19" s="98"/>
      <c r="E19" s="99"/>
      <c r="F19" s="119"/>
      <c r="G19" s="120"/>
      <c r="I19" s="125"/>
      <c r="J19" s="126"/>
      <c r="L19" s="125"/>
      <c r="M19" s="126"/>
      <c r="O19" s="125"/>
      <c r="P19" s="126"/>
      <c r="R19" s="130"/>
      <c r="S19" s="131"/>
      <c r="U19" s="78"/>
    </row>
    <row r="20" spans="1:35" x14ac:dyDescent="0.25">
      <c r="D20" s="79"/>
      <c r="U20" s="78"/>
    </row>
    <row r="21" spans="1:35" ht="12.65" customHeight="1" thickBot="1" x14ac:dyDescent="0.3">
      <c r="C21" s="82"/>
      <c r="L21" s="80"/>
      <c r="M21" s="80"/>
      <c r="N21" s="80"/>
      <c r="O21" s="80"/>
      <c r="P21" s="80"/>
      <c r="Q21" s="80"/>
      <c r="R21" s="80"/>
      <c r="S21" s="80"/>
      <c r="T21" s="80"/>
      <c r="U21" s="81"/>
    </row>
    <row r="22" spans="1:35" ht="12.65" customHeight="1" x14ac:dyDescent="0.25">
      <c r="D22" s="79"/>
      <c r="K22" s="78"/>
    </row>
    <row r="23" spans="1:35" ht="12.65" customHeight="1" x14ac:dyDescent="0.25">
      <c r="D23" s="79"/>
      <c r="K23" s="78"/>
      <c r="V23" s="92" t="s">
        <v>190</v>
      </c>
      <c r="W23" s="93"/>
    </row>
    <row r="24" spans="1:35" x14ac:dyDescent="0.25">
      <c r="D24" s="79"/>
      <c r="K24" s="78"/>
      <c r="V24" s="94"/>
      <c r="W24" s="95"/>
    </row>
    <row r="25" spans="1:35" x14ac:dyDescent="0.25">
      <c r="D25" s="79"/>
      <c r="K25" s="78"/>
      <c r="V25" s="96"/>
      <c r="W25" s="97"/>
    </row>
    <row r="26" spans="1:35" x14ac:dyDescent="0.25">
      <c r="D26" s="79"/>
      <c r="K26" s="78"/>
    </row>
    <row r="27" spans="1:35" ht="14.5" customHeight="1" x14ac:dyDescent="0.35">
      <c r="A27" s="3"/>
      <c r="C27" s="4"/>
      <c r="D27" s="83"/>
      <c r="E27" s="1"/>
      <c r="K27" s="78"/>
      <c r="W27" s="169" t="s">
        <v>189</v>
      </c>
      <c r="X27" s="93"/>
      <c r="Z27" s="141" t="s">
        <v>179</v>
      </c>
      <c r="AA27" s="142"/>
      <c r="AB27" s="73"/>
      <c r="AC27" s="141" t="s">
        <v>180</v>
      </c>
      <c r="AD27" s="142"/>
    </row>
    <row r="28" spans="1:35" ht="13" x14ac:dyDescent="0.3">
      <c r="C28" s="7"/>
      <c r="D28" s="83"/>
      <c r="E28" s="5"/>
      <c r="F28" s="5"/>
      <c r="G28" s="5"/>
      <c r="H28" s="5"/>
      <c r="I28" s="5"/>
      <c r="J28" s="5"/>
      <c r="K28" s="84"/>
      <c r="L28" s="5"/>
      <c r="M28" s="5"/>
      <c r="W28" s="94"/>
      <c r="X28" s="95"/>
      <c r="Z28" s="143"/>
      <c r="AA28" s="144"/>
      <c r="AB28" s="73"/>
      <c r="AC28" s="143"/>
      <c r="AD28" s="144"/>
    </row>
    <row r="29" spans="1:35" ht="13" x14ac:dyDescent="0.3">
      <c r="D29" s="83"/>
      <c r="E29" s="5"/>
      <c r="F29" s="5"/>
      <c r="G29" s="5"/>
      <c r="H29" s="5"/>
      <c r="I29" s="5"/>
      <c r="J29" s="5"/>
      <c r="K29" s="84"/>
      <c r="L29" s="5"/>
      <c r="M29" s="5"/>
      <c r="W29" s="96"/>
      <c r="X29" s="97"/>
      <c r="Z29" s="145"/>
      <c r="AA29" s="146"/>
      <c r="AB29" s="73"/>
      <c r="AC29" s="145"/>
      <c r="AD29" s="146"/>
    </row>
    <row r="30" spans="1:35" x14ac:dyDescent="0.25">
      <c r="D30" s="79"/>
      <c r="K30" s="78"/>
    </row>
    <row r="31" spans="1:35" x14ac:dyDescent="0.25">
      <c r="D31" s="79"/>
      <c r="F31" s="6"/>
      <c r="G31" s="6"/>
      <c r="H31" s="6"/>
      <c r="I31" s="6"/>
      <c r="J31" s="6"/>
      <c r="K31" s="85"/>
      <c r="L31" s="6"/>
      <c r="M31" s="6"/>
      <c r="N31" s="6"/>
      <c r="O31" s="6"/>
      <c r="P31" s="6"/>
      <c r="Q31" s="6"/>
      <c r="R31" s="6"/>
      <c r="S31" s="6"/>
    </row>
    <row r="32" spans="1:35" ht="12.65" customHeight="1" x14ac:dyDescent="0.25">
      <c r="D32" s="98" t="s">
        <v>184</v>
      </c>
      <c r="E32" s="99"/>
      <c r="F32" s="153" t="s">
        <v>2</v>
      </c>
      <c r="G32" s="154"/>
      <c r="I32" s="159" t="s">
        <v>3</v>
      </c>
      <c r="J32" s="127"/>
      <c r="K32" s="85"/>
      <c r="L32" s="6"/>
      <c r="M32" s="6"/>
      <c r="N32" s="6"/>
      <c r="O32" s="6"/>
      <c r="P32" s="6"/>
      <c r="Q32" s="6"/>
      <c r="R32" s="6"/>
      <c r="S32" s="6"/>
      <c r="AA32" s="160" t="s">
        <v>4</v>
      </c>
      <c r="AB32" s="161"/>
      <c r="AC32" s="162"/>
      <c r="AH32" s="100" t="s">
        <v>5</v>
      </c>
      <c r="AI32" s="101"/>
    </row>
    <row r="33" spans="1:38" ht="12.65" customHeight="1" x14ac:dyDescent="0.25">
      <c r="D33" s="98"/>
      <c r="E33" s="99"/>
      <c r="F33" s="155"/>
      <c r="G33" s="156"/>
      <c r="I33" s="128"/>
      <c r="J33" s="129"/>
      <c r="K33" s="85"/>
      <c r="L33" s="6"/>
      <c r="M33" s="6"/>
      <c r="N33" s="6"/>
      <c r="O33" s="6"/>
      <c r="P33" s="6"/>
      <c r="Q33" s="6"/>
      <c r="R33" s="6"/>
      <c r="S33" s="6"/>
      <c r="AA33" s="163"/>
      <c r="AB33" s="164"/>
      <c r="AC33" s="165"/>
      <c r="AH33" s="102"/>
      <c r="AI33" s="103"/>
    </row>
    <row r="34" spans="1:38" ht="12.65" customHeight="1" x14ac:dyDescent="0.25">
      <c r="D34" s="98"/>
      <c r="E34" s="99"/>
      <c r="F34" s="157"/>
      <c r="G34" s="158"/>
      <c r="I34" s="130"/>
      <c r="J34" s="131"/>
      <c r="K34" s="85"/>
      <c r="L34" s="6"/>
      <c r="M34" s="6"/>
      <c r="N34" s="6"/>
      <c r="O34" s="6"/>
      <c r="P34" s="6"/>
      <c r="Q34" s="6"/>
      <c r="R34" s="6"/>
      <c r="S34" s="6"/>
      <c r="W34" s="1" t="s">
        <v>191</v>
      </c>
      <c r="AA34" s="166"/>
      <c r="AB34" s="167"/>
      <c r="AC34" s="168"/>
      <c r="AH34" s="104"/>
      <c r="AI34" s="105"/>
    </row>
    <row r="35" spans="1:38" ht="12.65" customHeight="1" thickBot="1" x14ac:dyDescent="0.3">
      <c r="D35" s="79"/>
      <c r="F35" s="6"/>
      <c r="G35" s="6"/>
      <c r="H35" s="6"/>
      <c r="K35" s="85"/>
      <c r="L35" s="6"/>
      <c r="M35" s="6"/>
      <c r="N35" s="6"/>
      <c r="O35" s="6"/>
      <c r="P35" s="6"/>
      <c r="Q35" s="6"/>
      <c r="R35" s="6"/>
      <c r="S35" s="6"/>
      <c r="AL35" s="1" t="s">
        <v>185</v>
      </c>
    </row>
    <row r="36" spans="1:38" ht="13" customHeight="1" thickBot="1" x14ac:dyDescent="0.3">
      <c r="D36" s="79"/>
      <c r="F36" s="6"/>
      <c r="G36" s="6"/>
      <c r="H36" s="6"/>
      <c r="K36" s="85"/>
      <c r="L36" s="6"/>
      <c r="M36" s="6"/>
      <c r="N36" s="6"/>
      <c r="O36" s="6"/>
      <c r="P36" s="6"/>
      <c r="Q36" s="6"/>
      <c r="U36" s="171" t="s">
        <v>6</v>
      </c>
      <c r="V36" s="172"/>
      <c r="AE36" s="89"/>
      <c r="AF36" s="76"/>
      <c r="AG36" s="76"/>
      <c r="AH36" s="76"/>
      <c r="AI36" s="76"/>
      <c r="AJ36" s="77"/>
      <c r="AL36" s="1" t="s">
        <v>186</v>
      </c>
    </row>
    <row r="37" spans="1:38" x14ac:dyDescent="0.25">
      <c r="D37" s="79"/>
      <c r="F37" s="6"/>
      <c r="G37" s="6"/>
      <c r="H37" s="6"/>
      <c r="I37" s="6"/>
      <c r="J37" s="6"/>
      <c r="K37" s="85"/>
      <c r="L37" s="6"/>
      <c r="M37" s="6"/>
      <c r="N37" s="6"/>
      <c r="O37" s="6"/>
      <c r="P37" s="6"/>
      <c r="Q37" s="6"/>
      <c r="U37" s="173"/>
      <c r="V37" s="174"/>
      <c r="Z37" s="89"/>
      <c r="AA37" s="76"/>
      <c r="AB37" s="76"/>
      <c r="AC37" s="76"/>
      <c r="AD37" s="76"/>
      <c r="AJ37" s="78"/>
      <c r="AL37" s="1" t="s">
        <v>187</v>
      </c>
    </row>
    <row r="38" spans="1:38" x14ac:dyDescent="0.25">
      <c r="D38" s="98" t="s">
        <v>184</v>
      </c>
      <c r="E38" s="99"/>
      <c r="F38" s="177" t="s">
        <v>7</v>
      </c>
      <c r="G38" s="178"/>
      <c r="I38" s="159" t="s">
        <v>8</v>
      </c>
      <c r="J38" s="127"/>
      <c r="K38" s="78"/>
      <c r="U38" s="175"/>
      <c r="V38" s="176"/>
      <c r="Z38" s="90"/>
      <c r="AJ38" s="78"/>
      <c r="AL38" s="1" t="s">
        <v>188</v>
      </c>
    </row>
    <row r="39" spans="1:38" ht="13" x14ac:dyDescent="0.3">
      <c r="C39" s="8"/>
      <c r="D39" s="98"/>
      <c r="E39" s="99"/>
      <c r="F39" s="179"/>
      <c r="G39" s="180"/>
      <c r="I39" s="128"/>
      <c r="J39" s="129"/>
      <c r="K39" s="78"/>
      <c r="Z39" s="90"/>
      <c r="AA39" s="100" t="s">
        <v>176</v>
      </c>
      <c r="AB39" s="183"/>
      <c r="AC39" s="101"/>
      <c r="AE39" s="147" t="s">
        <v>177</v>
      </c>
      <c r="AF39" s="148"/>
      <c r="AH39" s="100" t="s">
        <v>9</v>
      </c>
      <c r="AI39" s="101"/>
      <c r="AJ39" s="78"/>
    </row>
    <row r="40" spans="1:38" ht="14.5" customHeight="1" x14ac:dyDescent="0.35">
      <c r="A40" s="170"/>
      <c r="C40" s="4"/>
      <c r="D40" s="98"/>
      <c r="E40" s="99"/>
      <c r="F40" s="181"/>
      <c r="G40" s="182"/>
      <c r="I40" s="130"/>
      <c r="J40" s="131"/>
      <c r="K40" s="78"/>
      <c r="Z40" s="90"/>
      <c r="AA40" s="102"/>
      <c r="AB40" s="184"/>
      <c r="AC40" s="103"/>
      <c r="AE40" s="149"/>
      <c r="AF40" s="150"/>
      <c r="AH40" s="102"/>
      <c r="AI40" s="103"/>
      <c r="AJ40" s="78"/>
    </row>
    <row r="41" spans="1:38" ht="14.5" x14ac:dyDescent="0.35">
      <c r="A41" s="170"/>
      <c r="B41" s="10"/>
      <c r="C41" s="4"/>
      <c r="D41" s="86"/>
      <c r="E41" s="7"/>
      <c r="K41" s="78"/>
      <c r="W41" s="1" t="s">
        <v>192</v>
      </c>
      <c r="Z41" s="90"/>
      <c r="AA41" s="104"/>
      <c r="AB41" s="185"/>
      <c r="AC41" s="105"/>
      <c r="AE41" s="151"/>
      <c r="AF41" s="152"/>
      <c r="AH41" s="104"/>
      <c r="AI41" s="105"/>
      <c r="AJ41" s="78"/>
    </row>
    <row r="42" spans="1:38" ht="15" thickBot="1" x14ac:dyDescent="0.4">
      <c r="A42" s="170"/>
      <c r="B42" s="11"/>
      <c r="C42" s="4"/>
      <c r="D42" s="87"/>
      <c r="E42" s="88"/>
      <c r="F42" s="80"/>
      <c r="G42" s="80"/>
      <c r="H42" s="80"/>
      <c r="I42" s="80"/>
      <c r="J42" s="80"/>
      <c r="K42" s="81"/>
      <c r="W42" s="1" t="s">
        <v>193</v>
      </c>
      <c r="Z42" s="91"/>
      <c r="AA42" s="80"/>
      <c r="AB42" s="80"/>
      <c r="AC42" s="80"/>
      <c r="AD42" s="80"/>
      <c r="AJ42" s="78"/>
    </row>
    <row r="43" spans="1:38" ht="14.5" x14ac:dyDescent="0.35">
      <c r="A43" s="3"/>
      <c r="C43" s="4"/>
      <c r="D43" s="9"/>
      <c r="E43" s="7"/>
      <c r="AE43" s="90"/>
      <c r="AH43" s="100" t="s">
        <v>178</v>
      </c>
      <c r="AI43" s="101"/>
      <c r="AJ43" s="78"/>
    </row>
    <row r="44" spans="1:38" ht="14.5" x14ac:dyDescent="0.35">
      <c r="A44" s="3"/>
      <c r="C44" s="4"/>
      <c r="D44" s="9"/>
      <c r="E44" s="7"/>
      <c r="AA44" s="106" t="s">
        <v>175</v>
      </c>
      <c r="AB44" s="107"/>
      <c r="AC44" s="108"/>
      <c r="AE44" s="90"/>
      <c r="AH44" s="102"/>
      <c r="AI44" s="103"/>
      <c r="AJ44" s="78"/>
    </row>
    <row r="45" spans="1:38" ht="14.5" customHeight="1" x14ac:dyDescent="0.25">
      <c r="A45" s="3"/>
      <c r="C45" s="1"/>
      <c r="D45" s="1"/>
      <c r="E45" s="1"/>
      <c r="AA45" s="109"/>
      <c r="AB45" s="110"/>
      <c r="AC45" s="111"/>
      <c r="AE45" s="90"/>
      <c r="AH45" s="104"/>
      <c r="AI45" s="105"/>
      <c r="AJ45" s="78"/>
    </row>
    <row r="46" spans="1:38" ht="13" customHeight="1" x14ac:dyDescent="0.25">
      <c r="A46" s="3"/>
      <c r="C46" s="1"/>
      <c r="D46" s="1"/>
      <c r="E46" s="1"/>
      <c r="AA46" s="112"/>
      <c r="AB46" s="113"/>
      <c r="AC46" s="114"/>
      <c r="AE46" s="90"/>
      <c r="AJ46" s="78"/>
    </row>
    <row r="47" spans="1:38" ht="12.65" customHeight="1" thickBot="1" x14ac:dyDescent="0.3">
      <c r="C47" s="1"/>
      <c r="D47" s="1"/>
      <c r="E47" s="1"/>
      <c r="AE47" s="91"/>
      <c r="AF47" s="80"/>
      <c r="AG47" s="80"/>
      <c r="AH47" s="80"/>
      <c r="AI47" s="80"/>
      <c r="AJ47" s="81"/>
    </row>
    <row r="48" spans="1:38" x14ac:dyDescent="0.25">
      <c r="C48" s="1"/>
      <c r="D48" s="1"/>
      <c r="E48" s="1"/>
    </row>
    <row r="49" spans="3:29" ht="12.65" customHeight="1" x14ac:dyDescent="0.25">
      <c r="C49" s="1"/>
      <c r="D49" s="1"/>
      <c r="E49" s="1"/>
      <c r="AA49" s="132" t="s">
        <v>183</v>
      </c>
      <c r="AB49" s="133"/>
      <c r="AC49" s="134"/>
    </row>
    <row r="50" spans="3:29" ht="12.65" customHeight="1" x14ac:dyDescent="0.25">
      <c r="C50" s="1"/>
      <c r="D50" s="1"/>
      <c r="E50" s="1"/>
      <c r="AA50" s="135"/>
      <c r="AB50" s="136"/>
      <c r="AC50" s="137"/>
    </row>
    <row r="51" spans="3:29" ht="12.65" customHeight="1" x14ac:dyDescent="0.25">
      <c r="C51" s="1"/>
      <c r="D51" s="1"/>
      <c r="E51" s="1"/>
      <c r="AA51" s="138"/>
      <c r="AB51" s="139"/>
      <c r="AC51" s="140"/>
    </row>
    <row r="52" spans="3:29" ht="12.65" customHeight="1" x14ac:dyDescent="0.25">
      <c r="C52" s="1"/>
      <c r="D52" s="1"/>
      <c r="E52" s="1"/>
    </row>
    <row r="53" spans="3:29" x14ac:dyDescent="0.25">
      <c r="C53" s="1"/>
      <c r="D53" s="1"/>
      <c r="E53" s="1"/>
    </row>
    <row r="54" spans="3:29" x14ac:dyDescent="0.25">
      <c r="C54" s="1"/>
      <c r="D54" s="1"/>
      <c r="E54" s="1"/>
    </row>
    <row r="55" spans="3:29" ht="12.65" customHeight="1" x14ac:dyDescent="0.25">
      <c r="C55" s="1"/>
      <c r="D55" s="1"/>
      <c r="E55" s="1"/>
    </row>
    <row r="56" spans="3:29" ht="12.65" customHeight="1" x14ac:dyDescent="0.25">
      <c r="C56" s="1"/>
      <c r="D56" s="1"/>
      <c r="E56" s="1"/>
    </row>
    <row r="57" spans="3:29" ht="12.65" customHeight="1" x14ac:dyDescent="0.25">
      <c r="C57" s="1"/>
      <c r="D57" s="1"/>
      <c r="E57" s="1"/>
    </row>
    <row r="58" spans="3:29" ht="12.65" customHeight="1" x14ac:dyDescent="0.25">
      <c r="C58" s="1"/>
      <c r="D58" s="1"/>
      <c r="E58" s="1"/>
    </row>
    <row r="59" spans="3:29" x14ac:dyDescent="0.25">
      <c r="C59" s="1"/>
      <c r="D59" s="1"/>
      <c r="E59" s="1"/>
    </row>
    <row r="60" spans="3:29" x14ac:dyDescent="0.25">
      <c r="C60" s="1"/>
      <c r="D60" s="1"/>
      <c r="E60" s="1"/>
    </row>
    <row r="61" spans="3:29" ht="12.65" customHeight="1" x14ac:dyDescent="0.25">
      <c r="C61" s="1"/>
      <c r="D61" s="1"/>
      <c r="E61" s="1"/>
    </row>
    <row r="62" spans="3:29" ht="12.65" customHeight="1" x14ac:dyDescent="0.25">
      <c r="C62" s="1"/>
      <c r="D62" s="1"/>
      <c r="E62" s="1"/>
    </row>
    <row r="63" spans="3:29" ht="12.65" customHeight="1" x14ac:dyDescent="0.25">
      <c r="C63" s="1"/>
      <c r="D63" s="1"/>
      <c r="E63" s="1"/>
    </row>
  </sheetData>
  <mergeCells count="42">
    <mergeCell ref="O8:P10"/>
    <mergeCell ref="R8:S10"/>
    <mergeCell ref="A40:A42"/>
    <mergeCell ref="U36:V38"/>
    <mergeCell ref="F38:G40"/>
    <mergeCell ref="I38:J40"/>
    <mergeCell ref="AA39:AC41"/>
    <mergeCell ref="AA49:AC51"/>
    <mergeCell ref="D32:E34"/>
    <mergeCell ref="D38:E40"/>
    <mergeCell ref="AH32:AI34"/>
    <mergeCell ref="AC27:AD29"/>
    <mergeCell ref="AE39:AF41"/>
    <mergeCell ref="AH39:AI41"/>
    <mergeCell ref="Z27:AA29"/>
    <mergeCell ref="F32:G34"/>
    <mergeCell ref="I32:J34"/>
    <mergeCell ref="AA32:AC34"/>
    <mergeCell ref="W27:X29"/>
    <mergeCell ref="AH43:AI45"/>
    <mergeCell ref="AA44:AC46"/>
    <mergeCell ref="F17:G19"/>
    <mergeCell ref="I17:J19"/>
    <mergeCell ref="L17:M19"/>
    <mergeCell ref="O17:P19"/>
    <mergeCell ref="R17:S19"/>
    <mergeCell ref="V23:W25"/>
    <mergeCell ref="D3:E5"/>
    <mergeCell ref="D8:E10"/>
    <mergeCell ref="D12:E14"/>
    <mergeCell ref="D17:E19"/>
    <mergeCell ref="F12:G14"/>
    <mergeCell ref="I12:J14"/>
    <mergeCell ref="O12:P14"/>
    <mergeCell ref="R12:S14"/>
    <mergeCell ref="F3:G5"/>
    <mergeCell ref="I3:J5"/>
    <mergeCell ref="O3:P5"/>
    <mergeCell ref="R3:S5"/>
    <mergeCell ref="F8:G10"/>
    <mergeCell ref="I8:J10"/>
    <mergeCell ref="L8:M10"/>
  </mergeCells>
  <pageMargins left="0.7" right="0.7" top="0.75" bottom="0.75" header="0.3" footer="0.3"/>
  <pageSetup paperSize="9" scale="83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C1:L141"/>
  <sheetViews>
    <sheetView workbookViewId="0">
      <selection activeCell="K9" sqref="K9"/>
    </sheetView>
  </sheetViews>
  <sheetFormatPr defaultRowHeight="14.5" outlineLevelRow="2" x14ac:dyDescent="0.35"/>
  <cols>
    <col min="3" max="3" width="35.1796875" customWidth="1"/>
    <col min="4" max="4" width="10.453125" bestFit="1" customWidth="1"/>
    <col min="5" max="5" width="15.26953125" bestFit="1" customWidth="1"/>
    <col min="6" max="6" width="15.1796875" bestFit="1" customWidth="1"/>
    <col min="8" max="8" width="14.54296875" hidden="1" customWidth="1"/>
    <col min="9" max="9" width="0" hidden="1" customWidth="1"/>
    <col min="10" max="12" width="11.81640625" bestFit="1" customWidth="1"/>
  </cols>
  <sheetData>
    <row r="1" spans="3:9" x14ac:dyDescent="0.35">
      <c r="C1" s="189" t="s">
        <v>11</v>
      </c>
      <c r="D1" s="189"/>
      <c r="E1" s="189"/>
      <c r="F1" s="12"/>
    </row>
    <row r="2" spans="3:9" x14ac:dyDescent="0.35">
      <c r="H2" t="s">
        <v>12</v>
      </c>
      <c r="I2">
        <v>68000</v>
      </c>
    </row>
    <row r="3" spans="3:9" x14ac:dyDescent="0.35">
      <c r="C3" s="13" t="s">
        <v>13</v>
      </c>
      <c r="D3" s="13" t="s">
        <v>14</v>
      </c>
      <c r="E3" s="13" t="s">
        <v>15</v>
      </c>
      <c r="F3" s="13" t="s">
        <v>145</v>
      </c>
      <c r="H3" s="14" t="s">
        <v>16</v>
      </c>
      <c r="I3">
        <v>52000</v>
      </c>
    </row>
    <row r="4" spans="3:9" outlineLevel="1" x14ac:dyDescent="0.35">
      <c r="C4" s="15" t="s">
        <v>17</v>
      </c>
      <c r="D4" s="16"/>
      <c r="E4" s="16"/>
      <c r="F4" s="16"/>
      <c r="H4" t="s">
        <v>18</v>
      </c>
      <c r="I4">
        <f>I2-I3</f>
        <v>16000</v>
      </c>
    </row>
    <row r="5" spans="3:9" outlineLevel="1" x14ac:dyDescent="0.35">
      <c r="C5" s="17" t="s">
        <v>19</v>
      </c>
      <c r="D5" s="17" t="s">
        <v>20</v>
      </c>
      <c r="E5" s="17">
        <v>5</v>
      </c>
      <c r="F5" s="17">
        <v>5</v>
      </c>
    </row>
    <row r="6" spans="3:9" outlineLevel="1" x14ac:dyDescent="0.35">
      <c r="C6" s="17" t="s">
        <v>21</v>
      </c>
      <c r="D6" s="17" t="s">
        <v>22</v>
      </c>
      <c r="E6" s="18">
        <v>7000</v>
      </c>
      <c r="F6" s="18">
        <v>7000</v>
      </c>
    </row>
    <row r="7" spans="3:9" outlineLevel="1" x14ac:dyDescent="0.35">
      <c r="C7" s="17" t="s">
        <v>23</v>
      </c>
      <c r="D7" s="17" t="s">
        <v>24</v>
      </c>
      <c r="E7" s="17">
        <v>2</v>
      </c>
      <c r="F7" s="17">
        <v>2</v>
      </c>
    </row>
    <row r="8" spans="3:9" outlineLevel="1" x14ac:dyDescent="0.35">
      <c r="C8" s="17" t="s">
        <v>25</v>
      </c>
      <c r="D8" s="17" t="s">
        <v>22</v>
      </c>
      <c r="E8" s="18">
        <v>10500</v>
      </c>
      <c r="F8" s="18">
        <v>10500</v>
      </c>
    </row>
    <row r="9" spans="3:9" outlineLevel="1" x14ac:dyDescent="0.35">
      <c r="C9" s="17" t="s">
        <v>26</v>
      </c>
      <c r="D9" s="17" t="s">
        <v>22</v>
      </c>
      <c r="E9" s="18">
        <f>((E5*E6)+(E7*E8))*12</f>
        <v>672000</v>
      </c>
      <c r="F9" s="18">
        <f>((F5*F6)+(F7*F8))*12</f>
        <v>672000</v>
      </c>
    </row>
    <row r="10" spans="3:9" outlineLevel="1" x14ac:dyDescent="0.35">
      <c r="C10" s="17" t="s">
        <v>27</v>
      </c>
      <c r="D10" s="17" t="s">
        <v>28</v>
      </c>
      <c r="E10" s="17">
        <v>20</v>
      </c>
      <c r="F10" s="17">
        <v>20</v>
      </c>
    </row>
    <row r="11" spans="3:9" x14ac:dyDescent="0.35">
      <c r="C11" s="19" t="s">
        <v>29</v>
      </c>
      <c r="D11" s="19" t="s">
        <v>30</v>
      </c>
      <c r="E11" s="20">
        <f>E10*0.01*E9+E9</f>
        <v>806400</v>
      </c>
      <c r="F11" s="20">
        <f>F10*0.01*F9+F9</f>
        <v>806400</v>
      </c>
    </row>
    <row r="12" spans="3:9" outlineLevel="1" x14ac:dyDescent="0.35">
      <c r="C12" s="21" t="s">
        <v>31</v>
      </c>
      <c r="D12" s="16"/>
      <c r="E12" s="16"/>
      <c r="F12" s="16"/>
    </row>
    <row r="13" spans="3:9" outlineLevel="1" x14ac:dyDescent="0.35">
      <c r="C13" s="17" t="s">
        <v>32</v>
      </c>
      <c r="D13" s="17" t="s">
        <v>33</v>
      </c>
      <c r="E13" s="17">
        <f>6890</f>
        <v>6890</v>
      </c>
      <c r="F13" s="17">
        <f>6890</f>
        <v>6890</v>
      </c>
    </row>
    <row r="14" spans="3:9" outlineLevel="1" x14ac:dyDescent="0.35">
      <c r="C14" s="17" t="s">
        <v>34</v>
      </c>
      <c r="D14" s="17" t="s">
        <v>35</v>
      </c>
      <c r="E14" s="18">
        <v>7</v>
      </c>
      <c r="F14" s="18">
        <v>7</v>
      </c>
    </row>
    <row r="15" spans="3:9" outlineLevel="1" x14ac:dyDescent="0.35">
      <c r="C15" s="19" t="s">
        <v>36</v>
      </c>
      <c r="D15" s="19" t="s">
        <v>30</v>
      </c>
      <c r="E15" s="20"/>
      <c r="F15" s="20"/>
    </row>
    <row r="16" spans="3:9" outlineLevel="1" x14ac:dyDescent="0.35">
      <c r="C16" s="21" t="s">
        <v>37</v>
      </c>
      <c r="D16" s="186"/>
      <c r="E16" s="187"/>
      <c r="F16" s="22"/>
    </row>
    <row r="17" spans="3:6" outlineLevel="1" x14ac:dyDescent="0.35">
      <c r="C17" s="17" t="s">
        <v>38</v>
      </c>
      <c r="D17" s="17" t="s">
        <v>39</v>
      </c>
      <c r="E17" s="17">
        <v>8000</v>
      </c>
      <c r="F17" s="17">
        <v>8000</v>
      </c>
    </row>
    <row r="18" spans="3:6" outlineLevel="1" x14ac:dyDescent="0.35">
      <c r="C18" s="17" t="s">
        <v>40</v>
      </c>
      <c r="D18" s="17" t="s">
        <v>41</v>
      </c>
      <c r="E18" s="18">
        <v>5.6</v>
      </c>
      <c r="F18" s="18">
        <v>5.6</v>
      </c>
    </row>
    <row r="19" spans="3:6" x14ac:dyDescent="0.35">
      <c r="C19" s="19" t="s">
        <v>42</v>
      </c>
      <c r="D19" s="19" t="s">
        <v>30</v>
      </c>
      <c r="E19" s="20">
        <f>(E18*E17)+(E14*E13)+(E71*E72)+(E77*E78)</f>
        <v>150630</v>
      </c>
      <c r="F19" s="20">
        <f>(F18*F17)+(F14*F13)+(F71*F72)+(F77*F78)</f>
        <v>150630</v>
      </c>
    </row>
    <row r="20" spans="3:6" outlineLevel="1" x14ac:dyDescent="0.35">
      <c r="C20" s="21" t="s">
        <v>43</v>
      </c>
      <c r="D20" s="23"/>
      <c r="E20" s="23"/>
      <c r="F20" s="23"/>
    </row>
    <row r="21" spans="3:6" outlineLevel="1" x14ac:dyDescent="0.35">
      <c r="C21" s="17" t="s">
        <v>44</v>
      </c>
      <c r="D21" s="17" t="s">
        <v>45</v>
      </c>
      <c r="E21" s="17">
        <v>90</v>
      </c>
      <c r="F21" s="17">
        <v>90</v>
      </c>
    </row>
    <row r="22" spans="3:6" outlineLevel="1" x14ac:dyDescent="0.35">
      <c r="C22" s="17" t="s">
        <v>46</v>
      </c>
      <c r="D22" s="17" t="s">
        <v>47</v>
      </c>
      <c r="E22" s="24">
        <f>E21*E5*252/1000</f>
        <v>113.4</v>
      </c>
      <c r="F22" s="24">
        <f>F21*F5*252/1000</f>
        <v>113.4</v>
      </c>
    </row>
    <row r="23" spans="3:6" outlineLevel="1" x14ac:dyDescent="0.35">
      <c r="C23" s="17" t="s">
        <v>48</v>
      </c>
      <c r="D23" s="17" t="s">
        <v>47</v>
      </c>
      <c r="E23" s="17">
        <f>0.3*24*365</f>
        <v>2627.9999999999995</v>
      </c>
      <c r="F23" s="17">
        <f>0.3*24*365</f>
        <v>2627.9999999999995</v>
      </c>
    </row>
    <row r="24" spans="3:6" outlineLevel="1" x14ac:dyDescent="0.35">
      <c r="C24" s="17" t="s">
        <v>49</v>
      </c>
      <c r="D24" s="17" t="s">
        <v>47</v>
      </c>
      <c r="E24" s="17">
        <f>1000+500</f>
        <v>1500</v>
      </c>
      <c r="F24" s="17">
        <f>1000+500</f>
        <v>1500</v>
      </c>
    </row>
    <row r="25" spans="3:6" outlineLevel="1" x14ac:dyDescent="0.35">
      <c r="C25" s="17" t="s">
        <v>50</v>
      </c>
      <c r="D25" s="17" t="s">
        <v>47</v>
      </c>
      <c r="E25" s="17">
        <v>75</v>
      </c>
      <c r="F25" s="17">
        <v>75</v>
      </c>
    </row>
    <row r="26" spans="3:6" outlineLevel="1" x14ac:dyDescent="0.35">
      <c r="C26" s="17" t="s">
        <v>51</v>
      </c>
      <c r="D26" s="17" t="s">
        <v>47</v>
      </c>
      <c r="E26" s="24">
        <f>E25+E24+E23+E22</f>
        <v>4316.3999999999996</v>
      </c>
      <c r="F26" s="24">
        <f>F25+F24+F23+F22</f>
        <v>4316.3999999999996</v>
      </c>
    </row>
    <row r="27" spans="3:6" outlineLevel="1" x14ac:dyDescent="0.35">
      <c r="C27" s="17" t="s">
        <v>52</v>
      </c>
      <c r="D27" s="17" t="s">
        <v>53</v>
      </c>
      <c r="E27" s="18">
        <v>5</v>
      </c>
      <c r="F27" s="18">
        <v>5</v>
      </c>
    </row>
    <row r="28" spans="3:6" x14ac:dyDescent="0.35">
      <c r="C28" s="19" t="s">
        <v>54</v>
      </c>
      <c r="D28" s="19" t="s">
        <v>30</v>
      </c>
      <c r="E28" s="20">
        <f>(E27*E26)+(E84*E85)</f>
        <v>52089.119999999995</v>
      </c>
      <c r="F28" s="20">
        <f>(F27*F26)+(F84*F85)</f>
        <v>52089.119999999995</v>
      </c>
    </row>
    <row r="29" spans="3:6" x14ac:dyDescent="0.35">
      <c r="C29" s="21" t="s">
        <v>55</v>
      </c>
      <c r="D29" s="23"/>
      <c r="E29" s="23"/>
      <c r="F29" s="23"/>
    </row>
    <row r="30" spans="3:6" x14ac:dyDescent="0.35">
      <c r="C30" s="13" t="s">
        <v>56</v>
      </c>
      <c r="D30" s="17" t="s">
        <v>57</v>
      </c>
      <c r="E30" s="17">
        <v>130</v>
      </c>
      <c r="F30" s="17">
        <v>130</v>
      </c>
    </row>
    <row r="31" spans="3:6" outlineLevel="2" x14ac:dyDescent="0.35">
      <c r="C31" s="17" t="s">
        <v>58</v>
      </c>
      <c r="D31" s="17" t="s">
        <v>59</v>
      </c>
      <c r="E31" s="17">
        <v>50000</v>
      </c>
      <c r="F31" s="17">
        <v>50000</v>
      </c>
    </row>
    <row r="32" spans="3:6" outlineLevel="2" x14ac:dyDescent="0.35">
      <c r="C32" s="17" t="s">
        <v>60</v>
      </c>
      <c r="D32" s="17" t="s">
        <v>28</v>
      </c>
      <c r="E32" s="25">
        <v>1</v>
      </c>
      <c r="F32" s="25">
        <v>1</v>
      </c>
    </row>
    <row r="33" spans="3:9" outlineLevel="2" x14ac:dyDescent="0.35">
      <c r="C33" s="17" t="s">
        <v>61</v>
      </c>
      <c r="D33" s="17" t="s">
        <v>62</v>
      </c>
      <c r="E33" s="17">
        <f>E31*E30*E32</f>
        <v>6500000</v>
      </c>
      <c r="F33" s="17">
        <f>F31*F30*F32</f>
        <v>6500000</v>
      </c>
    </row>
    <row r="34" spans="3:9" x14ac:dyDescent="0.35">
      <c r="C34" s="17" t="s">
        <v>63</v>
      </c>
      <c r="D34" s="17" t="s">
        <v>64</v>
      </c>
      <c r="E34" s="17"/>
      <c r="F34" s="17"/>
      <c r="H34">
        <f>2*365*24</f>
        <v>17520</v>
      </c>
      <c r="I34" s="26" t="e">
        <f>#REF!/H34</f>
        <v>#REF!</v>
      </c>
    </row>
    <row r="35" spans="3:9" x14ac:dyDescent="0.35">
      <c r="C35" s="17" t="s">
        <v>65</v>
      </c>
      <c r="D35" s="17" t="s">
        <v>64</v>
      </c>
      <c r="E35" s="27"/>
      <c r="F35" s="27"/>
    </row>
    <row r="36" spans="3:9" x14ac:dyDescent="0.35">
      <c r="C36" s="17" t="s">
        <v>153</v>
      </c>
      <c r="D36" s="17" t="s">
        <v>155</v>
      </c>
      <c r="E36" s="27"/>
      <c r="F36" s="27"/>
    </row>
    <row r="37" spans="3:9" x14ac:dyDescent="0.35">
      <c r="C37" s="17" t="s">
        <v>154</v>
      </c>
      <c r="D37" s="17" t="s">
        <v>155</v>
      </c>
      <c r="E37" s="27"/>
      <c r="F37" s="27"/>
    </row>
    <row r="38" spans="3:9" outlineLevel="1" x14ac:dyDescent="0.35">
      <c r="C38" s="28" t="s">
        <v>66</v>
      </c>
      <c r="D38" s="190"/>
      <c r="E38" s="191"/>
      <c r="F38" s="22"/>
    </row>
    <row r="39" spans="3:9" ht="29" outlineLevel="1" x14ac:dyDescent="0.35">
      <c r="C39" s="29" t="s">
        <v>67</v>
      </c>
      <c r="D39" s="17" t="s">
        <v>64</v>
      </c>
      <c r="E39" s="30">
        <v>163.52000000000001</v>
      </c>
      <c r="F39" s="30">
        <v>163.52000000000001</v>
      </c>
    </row>
    <row r="40" spans="3:9" ht="29" outlineLevel="1" x14ac:dyDescent="0.35">
      <c r="C40" s="29" t="s">
        <v>147</v>
      </c>
      <c r="D40" s="17" t="s">
        <v>64</v>
      </c>
      <c r="E40" s="30">
        <f>272+5.6</f>
        <v>277.60000000000002</v>
      </c>
      <c r="F40" s="30">
        <f>272+5.6</f>
        <v>277.60000000000002</v>
      </c>
    </row>
    <row r="41" spans="3:9" outlineLevel="1" x14ac:dyDescent="0.35">
      <c r="C41" s="29" t="s">
        <v>148</v>
      </c>
      <c r="D41" s="17" t="s">
        <v>64</v>
      </c>
      <c r="E41" s="30"/>
      <c r="F41" s="30"/>
    </row>
    <row r="42" spans="3:9" outlineLevel="1" x14ac:dyDescent="0.35">
      <c r="C42" s="29" t="s">
        <v>149</v>
      </c>
      <c r="D42" s="17" t="s">
        <v>64</v>
      </c>
      <c r="E42" s="30"/>
      <c r="F42" s="30"/>
    </row>
    <row r="43" spans="3:9" outlineLevel="1" x14ac:dyDescent="0.35">
      <c r="C43" s="31" t="s">
        <v>68</v>
      </c>
      <c r="D43" s="17" t="s">
        <v>64</v>
      </c>
      <c r="E43" s="30">
        <v>357.40800000000002</v>
      </c>
      <c r="F43" s="30">
        <v>357.40800000000002</v>
      </c>
    </row>
    <row r="44" spans="3:9" outlineLevel="1" x14ac:dyDescent="0.35">
      <c r="C44" s="31" t="s">
        <v>69</v>
      </c>
      <c r="D44" s="17" t="s">
        <v>64</v>
      </c>
      <c r="E44" s="30">
        <v>332.88</v>
      </c>
      <c r="F44" s="30">
        <v>332.88</v>
      </c>
    </row>
    <row r="45" spans="3:9" outlineLevel="1" x14ac:dyDescent="0.35">
      <c r="C45" s="31" t="s">
        <v>70</v>
      </c>
      <c r="D45" s="17" t="s">
        <v>64</v>
      </c>
      <c r="E45" s="30">
        <v>320.96640000000002</v>
      </c>
      <c r="F45" s="30">
        <v>320.96640000000002</v>
      </c>
    </row>
    <row r="46" spans="3:9" outlineLevel="1" x14ac:dyDescent="0.35">
      <c r="C46" s="31" t="s">
        <v>146</v>
      </c>
      <c r="D46" s="17" t="s">
        <v>64</v>
      </c>
      <c r="E46" s="30">
        <v>91.98</v>
      </c>
      <c r="F46" s="30">
        <v>91.98</v>
      </c>
    </row>
    <row r="47" spans="3:9" outlineLevel="1" x14ac:dyDescent="0.35">
      <c r="C47" s="31"/>
      <c r="D47" s="17" t="s">
        <v>64</v>
      </c>
      <c r="E47" s="30"/>
      <c r="F47" s="30"/>
    </row>
    <row r="48" spans="3:9" outlineLevel="1" x14ac:dyDescent="0.35">
      <c r="C48" s="31" t="s">
        <v>71</v>
      </c>
      <c r="D48" s="17" t="s">
        <v>64</v>
      </c>
      <c r="E48" s="30">
        <v>4.38</v>
      </c>
      <c r="F48" s="30">
        <v>4.38</v>
      </c>
    </row>
    <row r="49" spans="3:9" outlineLevel="1" x14ac:dyDescent="0.35">
      <c r="C49" s="31" t="s">
        <v>72</v>
      </c>
      <c r="D49" s="17" t="s">
        <v>64</v>
      </c>
      <c r="E49" s="30">
        <v>104.76960000000001</v>
      </c>
      <c r="F49" s="30">
        <v>104.76960000000001</v>
      </c>
    </row>
    <row r="50" spans="3:9" outlineLevel="1" x14ac:dyDescent="0.35">
      <c r="C50" s="31" t="s">
        <v>73</v>
      </c>
      <c r="D50" s="17" t="s">
        <v>64</v>
      </c>
      <c r="E50" s="30">
        <v>30.659999999999997</v>
      </c>
      <c r="F50" s="30">
        <v>30.659999999999997</v>
      </c>
    </row>
    <row r="51" spans="3:9" outlineLevel="1" x14ac:dyDescent="0.35">
      <c r="C51" s="31"/>
      <c r="D51" s="17" t="s">
        <v>64</v>
      </c>
      <c r="E51" s="30"/>
      <c r="F51" s="30"/>
    </row>
    <row r="52" spans="3:9" outlineLevel="1" x14ac:dyDescent="0.35">
      <c r="C52" s="31" t="s">
        <v>74</v>
      </c>
      <c r="D52" s="17" t="s">
        <v>64</v>
      </c>
      <c r="E52" s="30">
        <v>84.424499999999995</v>
      </c>
      <c r="F52" s="30">
        <v>84.424499999999995</v>
      </c>
    </row>
    <row r="53" spans="3:9" outlineLevel="1" x14ac:dyDescent="0.35">
      <c r="C53" s="31"/>
      <c r="D53" s="17" t="s">
        <v>64</v>
      </c>
      <c r="E53" s="30"/>
      <c r="F53" s="30"/>
    </row>
    <row r="54" spans="3:9" x14ac:dyDescent="0.35">
      <c r="C54" s="32" t="s">
        <v>75</v>
      </c>
      <c r="D54" s="32" t="s">
        <v>64</v>
      </c>
      <c r="E54" s="33">
        <f>SUM(E39:E52)</f>
        <v>1768.5885000000003</v>
      </c>
      <c r="F54" s="33">
        <f>SUM(F39:F53)</f>
        <v>1768.5885000000003</v>
      </c>
    </row>
    <row r="55" spans="3:9" x14ac:dyDescent="0.35">
      <c r="C55" s="17" t="s">
        <v>151</v>
      </c>
      <c r="D55" s="17" t="s">
        <v>28</v>
      </c>
      <c r="E55" s="72">
        <v>1</v>
      </c>
      <c r="F55" s="72">
        <v>1</v>
      </c>
    </row>
    <row r="56" spans="3:9" x14ac:dyDescent="0.35">
      <c r="C56" s="17" t="s">
        <v>150</v>
      </c>
      <c r="D56" s="17" t="s">
        <v>64</v>
      </c>
      <c r="E56" s="30">
        <f>E55*E54</f>
        <v>1768.5885000000003</v>
      </c>
      <c r="F56" s="30">
        <f>F55*F54</f>
        <v>1768.5885000000003</v>
      </c>
    </row>
    <row r="57" spans="3:9" x14ac:dyDescent="0.35">
      <c r="C57" s="17" t="s">
        <v>152</v>
      </c>
      <c r="D57" s="17" t="s">
        <v>82</v>
      </c>
      <c r="E57" s="30">
        <v>850</v>
      </c>
      <c r="F57" s="30">
        <v>850</v>
      </c>
    </row>
    <row r="58" spans="3:9" x14ac:dyDescent="0.35">
      <c r="C58" s="19" t="s">
        <v>76</v>
      </c>
      <c r="D58" s="19" t="s">
        <v>30</v>
      </c>
      <c r="E58" s="34">
        <f>E57*E56</f>
        <v>1503300.2250000003</v>
      </c>
      <c r="F58" s="34">
        <f>F57*F56</f>
        <v>1503300.2250000003</v>
      </c>
    </row>
    <row r="59" spans="3:9" x14ac:dyDescent="0.35">
      <c r="C59" s="35" t="s">
        <v>77</v>
      </c>
      <c r="D59" s="35" t="s">
        <v>64</v>
      </c>
      <c r="E59" s="36"/>
      <c r="F59" s="36"/>
    </row>
    <row r="60" spans="3:9" x14ac:dyDescent="0.35">
      <c r="C60" s="13" t="s">
        <v>78</v>
      </c>
      <c r="D60" s="17" t="s">
        <v>64</v>
      </c>
      <c r="E60" s="17"/>
      <c r="F60" s="17"/>
    </row>
    <row r="61" spans="3:9" x14ac:dyDescent="0.35">
      <c r="C61" s="35" t="s">
        <v>79</v>
      </c>
      <c r="D61" s="35" t="s">
        <v>30</v>
      </c>
      <c r="E61" s="37"/>
      <c r="F61" s="37"/>
    </row>
    <row r="62" spans="3:9" x14ac:dyDescent="0.35">
      <c r="C62" s="38" t="s">
        <v>80</v>
      </c>
      <c r="D62" s="186"/>
      <c r="E62" s="187"/>
      <c r="F62" s="22"/>
    </row>
    <row r="63" spans="3:9" x14ac:dyDescent="0.35">
      <c r="C63" s="17" t="s">
        <v>81</v>
      </c>
      <c r="D63" s="17" t="s">
        <v>64</v>
      </c>
      <c r="E63" s="24"/>
      <c r="F63" s="24"/>
      <c r="I63" s="17"/>
    </row>
    <row r="64" spans="3:9" x14ac:dyDescent="0.35">
      <c r="C64" s="17" t="s">
        <v>156</v>
      </c>
      <c r="D64" s="17" t="s">
        <v>64</v>
      </c>
      <c r="E64" s="24"/>
      <c r="F64" s="24"/>
    </row>
    <row r="65" spans="3:6" x14ac:dyDescent="0.35">
      <c r="C65" s="17" t="s">
        <v>157</v>
      </c>
      <c r="D65" s="17" t="s">
        <v>64</v>
      </c>
      <c r="E65" s="24"/>
      <c r="F65" s="24"/>
    </row>
    <row r="66" spans="3:6" x14ac:dyDescent="0.35">
      <c r="C66" s="17" t="s">
        <v>158</v>
      </c>
      <c r="D66" s="17" t="s">
        <v>64</v>
      </c>
      <c r="E66" s="24"/>
      <c r="F66" s="24"/>
    </row>
    <row r="67" spans="3:6" x14ac:dyDescent="0.35">
      <c r="C67" s="13" t="s">
        <v>159</v>
      </c>
      <c r="D67" s="17" t="s">
        <v>64</v>
      </c>
      <c r="E67" s="39"/>
      <c r="F67" s="39"/>
    </row>
    <row r="68" spans="3:6" x14ac:dyDescent="0.35">
      <c r="C68" s="13" t="s">
        <v>160</v>
      </c>
      <c r="D68" s="17" t="s">
        <v>47</v>
      </c>
      <c r="E68" s="39"/>
      <c r="F68" s="39"/>
    </row>
    <row r="69" spans="3:6" x14ac:dyDescent="0.35">
      <c r="C69" s="41"/>
      <c r="D69" s="41"/>
      <c r="E69" s="20"/>
      <c r="F69" s="20"/>
    </row>
    <row r="70" spans="3:6" x14ac:dyDescent="0.35">
      <c r="C70" s="38" t="s">
        <v>83</v>
      </c>
      <c r="D70" s="190"/>
      <c r="E70" s="191"/>
      <c r="F70" s="22"/>
    </row>
    <row r="71" spans="3:6" x14ac:dyDescent="0.35">
      <c r="C71" s="17" t="s">
        <v>84</v>
      </c>
      <c r="D71" s="17" t="s">
        <v>85</v>
      </c>
      <c r="E71" s="17">
        <v>1.65</v>
      </c>
      <c r="F71" s="17">
        <v>1.65</v>
      </c>
    </row>
    <row r="72" spans="3:6" x14ac:dyDescent="0.35">
      <c r="C72" s="17" t="s">
        <v>86</v>
      </c>
      <c r="D72" s="17" t="s">
        <v>87</v>
      </c>
      <c r="E72" s="18">
        <v>24000</v>
      </c>
      <c r="F72" s="18">
        <v>24000</v>
      </c>
    </row>
    <row r="73" spans="3:6" x14ac:dyDescent="0.35">
      <c r="C73" s="17"/>
      <c r="D73" s="17"/>
      <c r="E73" s="18"/>
      <c r="F73" s="18"/>
    </row>
    <row r="74" spans="3:6" x14ac:dyDescent="0.35">
      <c r="C74" s="17"/>
      <c r="D74" s="17"/>
      <c r="E74" s="18"/>
      <c r="F74" s="18"/>
    </row>
    <row r="75" spans="3:6" x14ac:dyDescent="0.35">
      <c r="C75" s="19" t="s">
        <v>88</v>
      </c>
      <c r="D75" s="19" t="s">
        <v>30</v>
      </c>
      <c r="E75" s="20"/>
      <c r="F75" s="20"/>
    </row>
    <row r="76" spans="3:6" x14ac:dyDescent="0.35">
      <c r="C76" s="38" t="s">
        <v>89</v>
      </c>
      <c r="D76" s="186"/>
      <c r="E76" s="187"/>
      <c r="F76" s="22"/>
    </row>
    <row r="77" spans="3:6" x14ac:dyDescent="0.35">
      <c r="C77" s="17" t="s">
        <v>90</v>
      </c>
      <c r="D77" s="17" t="s">
        <v>47</v>
      </c>
      <c r="E77" s="17">
        <v>3</v>
      </c>
      <c r="F77" s="17">
        <v>3</v>
      </c>
    </row>
    <row r="78" spans="3:6" x14ac:dyDescent="0.35">
      <c r="C78" s="17" t="s">
        <v>86</v>
      </c>
      <c r="D78" s="17" t="s">
        <v>53</v>
      </c>
      <c r="E78" s="18">
        <v>6000</v>
      </c>
      <c r="F78" s="18">
        <v>6000</v>
      </c>
    </row>
    <row r="79" spans="3:6" x14ac:dyDescent="0.35">
      <c r="C79" s="19" t="s">
        <v>91</v>
      </c>
      <c r="D79" s="19" t="s">
        <v>30</v>
      </c>
      <c r="E79" s="20"/>
      <c r="F79" s="20"/>
    </row>
    <row r="80" spans="3:6" x14ac:dyDescent="0.35">
      <c r="C80" s="38" t="s">
        <v>92</v>
      </c>
      <c r="D80" s="186"/>
      <c r="E80" s="187"/>
      <c r="F80" s="22"/>
    </row>
    <row r="81" spans="3:6" x14ac:dyDescent="0.35">
      <c r="C81" s="17" t="s">
        <v>93</v>
      </c>
      <c r="D81" s="24" t="s">
        <v>47</v>
      </c>
      <c r="E81" s="24">
        <f>0.9*E22</f>
        <v>102.06</v>
      </c>
      <c r="F81" s="24">
        <f>0.9*F22</f>
        <v>102.06</v>
      </c>
    </row>
    <row r="82" spans="3:6" x14ac:dyDescent="0.35">
      <c r="C82" s="17" t="s">
        <v>94</v>
      </c>
      <c r="D82" s="24" t="s">
        <v>47</v>
      </c>
      <c r="E82" s="24">
        <f>0.9*E23</f>
        <v>2365.1999999999998</v>
      </c>
      <c r="F82" s="24">
        <f>0.9*F23</f>
        <v>2365.1999999999998</v>
      </c>
    </row>
    <row r="83" spans="3:6" x14ac:dyDescent="0.35">
      <c r="C83" s="17" t="s">
        <v>95</v>
      </c>
      <c r="D83" s="24" t="s">
        <v>47</v>
      </c>
      <c r="E83" s="17">
        <f>E25</f>
        <v>75</v>
      </c>
      <c r="F83" s="17">
        <f>F25</f>
        <v>75</v>
      </c>
    </row>
    <row r="84" spans="3:6" x14ac:dyDescent="0.35">
      <c r="C84" s="17" t="s">
        <v>96</v>
      </c>
      <c r="D84" s="24" t="s">
        <v>47</v>
      </c>
      <c r="E84" s="24">
        <f>E83+E82+E81</f>
        <v>2542.2599999999998</v>
      </c>
      <c r="F84" s="24">
        <f>F83+F82+F81</f>
        <v>2542.2599999999998</v>
      </c>
    </row>
    <row r="85" spans="3:6" x14ac:dyDescent="0.35">
      <c r="C85" s="17" t="s">
        <v>97</v>
      </c>
      <c r="D85" s="24" t="s">
        <v>53</v>
      </c>
      <c r="E85" s="18">
        <v>12</v>
      </c>
      <c r="F85" s="18">
        <v>12</v>
      </c>
    </row>
    <row r="86" spans="3:6" x14ac:dyDescent="0.35">
      <c r="C86" s="19" t="s">
        <v>98</v>
      </c>
      <c r="D86" s="42" t="s">
        <v>30</v>
      </c>
      <c r="E86" s="20"/>
      <c r="F86" s="20"/>
    </row>
    <row r="87" spans="3:6" x14ac:dyDescent="0.35">
      <c r="C87" s="38" t="s">
        <v>99</v>
      </c>
      <c r="D87" s="186"/>
      <c r="E87" s="187"/>
      <c r="F87" s="22"/>
    </row>
    <row r="88" spans="3:6" x14ac:dyDescent="0.35">
      <c r="C88" s="17" t="s">
        <v>100</v>
      </c>
      <c r="D88" s="17" t="s">
        <v>85</v>
      </c>
      <c r="E88" s="17"/>
      <c r="F88" s="17"/>
    </row>
    <row r="89" spans="3:6" x14ac:dyDescent="0.35">
      <c r="C89" s="17" t="s">
        <v>101</v>
      </c>
      <c r="D89" s="17" t="s">
        <v>85</v>
      </c>
      <c r="E89" s="17"/>
      <c r="F89" s="17"/>
    </row>
    <row r="90" spans="3:6" x14ac:dyDescent="0.35">
      <c r="C90" s="17" t="s">
        <v>102</v>
      </c>
      <c r="D90" s="17" t="s">
        <v>85</v>
      </c>
      <c r="E90" s="17"/>
      <c r="F90" s="17"/>
    </row>
    <row r="91" spans="3:6" x14ac:dyDescent="0.35">
      <c r="C91" s="17" t="s">
        <v>103</v>
      </c>
      <c r="D91" s="17" t="s">
        <v>87</v>
      </c>
      <c r="E91" s="18">
        <v>1</v>
      </c>
      <c r="F91" s="18">
        <v>30</v>
      </c>
    </row>
    <row r="92" spans="3:6" x14ac:dyDescent="0.35">
      <c r="C92" s="19" t="s">
        <v>104</v>
      </c>
      <c r="D92" s="19" t="s">
        <v>30</v>
      </c>
      <c r="E92" s="20">
        <f>E91*E90</f>
        <v>0</v>
      </c>
      <c r="F92" s="20">
        <f>F91*F90</f>
        <v>0</v>
      </c>
    </row>
    <row r="93" spans="3:6" x14ac:dyDescent="0.35">
      <c r="C93" s="38" t="s">
        <v>161</v>
      </c>
      <c r="D93" s="186"/>
      <c r="E93" s="187"/>
      <c r="F93" s="22"/>
    </row>
    <row r="94" spans="3:6" x14ac:dyDescent="0.35">
      <c r="C94" s="17" t="s">
        <v>0</v>
      </c>
      <c r="D94" s="17" t="s">
        <v>85</v>
      </c>
      <c r="E94" s="17"/>
      <c r="F94" s="17"/>
    </row>
    <row r="95" spans="3:6" x14ac:dyDescent="0.35">
      <c r="C95" s="17" t="s">
        <v>103</v>
      </c>
      <c r="D95" s="17" t="s">
        <v>87</v>
      </c>
      <c r="E95" s="18"/>
      <c r="F95" s="18"/>
    </row>
    <row r="96" spans="3:6" x14ac:dyDescent="0.35">
      <c r="C96" s="17" t="s">
        <v>1</v>
      </c>
      <c r="D96" s="17" t="s">
        <v>85</v>
      </c>
      <c r="E96" s="18"/>
      <c r="F96" s="18"/>
    </row>
    <row r="97" spans="3:12" x14ac:dyDescent="0.35">
      <c r="C97" s="17" t="s">
        <v>103</v>
      </c>
      <c r="D97" s="17" t="s">
        <v>87</v>
      </c>
      <c r="E97" s="18"/>
      <c r="F97" s="18"/>
    </row>
    <row r="98" spans="3:12" x14ac:dyDescent="0.35">
      <c r="C98" s="19" t="s">
        <v>105</v>
      </c>
      <c r="D98" s="19" t="s">
        <v>30</v>
      </c>
      <c r="E98" s="20">
        <f>E95*E94+E96*E97</f>
        <v>0</v>
      </c>
      <c r="F98" s="20">
        <f>F95*F94+F96*F97</f>
        <v>0</v>
      </c>
    </row>
    <row r="99" spans="3:12" x14ac:dyDescent="0.35">
      <c r="C99" s="38" t="s">
        <v>106</v>
      </c>
      <c r="D99" s="186"/>
      <c r="E99" s="187"/>
      <c r="F99" s="22"/>
    </row>
    <row r="100" spans="3:12" ht="15.5" x14ac:dyDescent="0.35">
      <c r="C100" s="17" t="s">
        <v>107</v>
      </c>
      <c r="D100" s="17" t="s">
        <v>30</v>
      </c>
      <c r="E100" s="40"/>
      <c r="F100" s="40"/>
      <c r="J100" s="43"/>
      <c r="K100" s="43"/>
      <c r="L100" s="43"/>
    </row>
    <row r="101" spans="3:12" x14ac:dyDescent="0.35">
      <c r="C101" s="17" t="s">
        <v>108</v>
      </c>
      <c r="D101" s="17" t="s">
        <v>30</v>
      </c>
      <c r="E101" s="40"/>
      <c r="F101" s="40"/>
    </row>
    <row r="102" spans="3:12" x14ac:dyDescent="0.35">
      <c r="C102" s="17" t="s">
        <v>109</v>
      </c>
      <c r="D102" s="17" t="s">
        <v>30</v>
      </c>
      <c r="E102" s="40"/>
      <c r="F102" s="40"/>
    </row>
    <row r="103" spans="3:12" x14ac:dyDescent="0.35">
      <c r="C103" s="17" t="s">
        <v>110</v>
      </c>
      <c r="D103" s="17" t="s">
        <v>30</v>
      </c>
      <c r="E103" s="40"/>
      <c r="F103" s="40"/>
    </row>
    <row r="104" spans="3:12" x14ac:dyDescent="0.35">
      <c r="C104" s="19" t="s">
        <v>111</v>
      </c>
      <c r="D104" s="19" t="s">
        <v>30</v>
      </c>
      <c r="E104" s="20">
        <f>SUM(E100:E103)</f>
        <v>0</v>
      </c>
      <c r="F104" s="20">
        <f>SUM(F100:F103)</f>
        <v>0</v>
      </c>
    </row>
    <row r="105" spans="3:12" x14ac:dyDescent="0.35">
      <c r="C105" s="38" t="s">
        <v>112</v>
      </c>
      <c r="D105" s="23"/>
      <c r="E105" s="23"/>
      <c r="F105" s="23"/>
    </row>
    <row r="106" spans="3:12" x14ac:dyDescent="0.35">
      <c r="C106" s="17" t="s">
        <v>162</v>
      </c>
      <c r="D106" s="17" t="s">
        <v>85</v>
      </c>
      <c r="E106" s="17"/>
      <c r="F106" s="17"/>
    </row>
    <row r="107" spans="3:12" x14ac:dyDescent="0.35">
      <c r="C107" s="17" t="s">
        <v>163</v>
      </c>
      <c r="D107" s="17" t="s">
        <v>85</v>
      </c>
      <c r="E107" s="17"/>
      <c r="F107" s="17"/>
    </row>
    <row r="108" spans="3:12" x14ac:dyDescent="0.35">
      <c r="C108" s="17" t="s">
        <v>164</v>
      </c>
      <c r="D108" s="17" t="s">
        <v>85</v>
      </c>
      <c r="E108" s="17"/>
      <c r="F108" s="17"/>
    </row>
    <row r="109" spans="3:12" x14ac:dyDescent="0.35">
      <c r="C109" s="17" t="s">
        <v>165</v>
      </c>
      <c r="D109" s="17" t="s">
        <v>85</v>
      </c>
      <c r="E109" s="17"/>
      <c r="F109" s="17"/>
    </row>
    <row r="110" spans="3:12" x14ac:dyDescent="0.35">
      <c r="C110" s="17" t="s">
        <v>113</v>
      </c>
      <c r="D110" s="17" t="s">
        <v>87</v>
      </c>
      <c r="E110" s="18">
        <v>550</v>
      </c>
      <c r="F110" s="18">
        <v>550</v>
      </c>
    </row>
    <row r="111" spans="3:12" x14ac:dyDescent="0.35">
      <c r="C111" s="19" t="s">
        <v>114</v>
      </c>
      <c r="D111" s="19" t="s">
        <v>30</v>
      </c>
      <c r="E111" s="20">
        <f>(E110+E107+E108)*E106</f>
        <v>0</v>
      </c>
      <c r="F111" s="20">
        <f>(F110+F107+F108)*F106</f>
        <v>0</v>
      </c>
    </row>
    <row r="112" spans="3:12" x14ac:dyDescent="0.35">
      <c r="C112" s="38" t="s">
        <v>115</v>
      </c>
      <c r="D112" s="23"/>
      <c r="E112" s="23"/>
      <c r="F112" s="23"/>
    </row>
    <row r="113" spans="3:8" ht="29" x14ac:dyDescent="0.35">
      <c r="C113" s="44" t="s">
        <v>116</v>
      </c>
      <c r="D113" s="17" t="s">
        <v>30</v>
      </c>
      <c r="E113" s="40"/>
      <c r="F113" s="40"/>
    </row>
    <row r="114" spans="3:8" ht="29.5" thickBot="1" x14ac:dyDescent="0.4">
      <c r="C114" s="45" t="s">
        <v>117</v>
      </c>
      <c r="D114" s="46" t="s">
        <v>30</v>
      </c>
      <c r="E114" s="47"/>
      <c r="F114" s="47"/>
    </row>
    <row r="115" spans="3:8" x14ac:dyDescent="0.35">
      <c r="C115" s="48" t="s">
        <v>118</v>
      </c>
      <c r="D115" s="49" t="s">
        <v>30</v>
      </c>
      <c r="E115" s="50">
        <f>E114+E113+E104+E86+E79+E75+E58+E19+E15+E11+E111+E28</f>
        <v>2512419.3450000007</v>
      </c>
      <c r="F115" s="51">
        <f>F114+F113+F104+F86+F79+F75+F58+F19+F15+F11+F111+F28</f>
        <v>2512419.3450000007</v>
      </c>
    </row>
    <row r="116" spans="3:8" x14ac:dyDescent="0.35">
      <c r="C116" s="52" t="s">
        <v>119</v>
      </c>
      <c r="D116" s="17" t="s">
        <v>30</v>
      </c>
      <c r="E116" s="18">
        <f>E98+E92+E61</f>
        <v>0</v>
      </c>
      <c r="F116" s="53">
        <f>F98+F92+F61+F69</f>
        <v>0</v>
      </c>
    </row>
    <row r="117" spans="3:8" x14ac:dyDescent="0.35">
      <c r="C117" s="52" t="s">
        <v>120</v>
      </c>
      <c r="D117" s="17" t="s">
        <v>30</v>
      </c>
      <c r="E117" s="54">
        <f>E116-E115</f>
        <v>-2512419.3450000007</v>
      </c>
      <c r="F117" s="55">
        <f>F116-F115</f>
        <v>-2512419.3450000007</v>
      </c>
    </row>
    <row r="118" spans="3:8" x14ac:dyDescent="0.35">
      <c r="C118" s="52" t="s">
        <v>121</v>
      </c>
      <c r="D118" s="17" t="s">
        <v>85</v>
      </c>
      <c r="E118" s="17">
        <v>10000</v>
      </c>
      <c r="F118" s="56">
        <v>10000</v>
      </c>
    </row>
    <row r="119" spans="3:8" x14ac:dyDescent="0.35">
      <c r="C119" s="52" t="s">
        <v>122</v>
      </c>
      <c r="D119" s="17" t="s">
        <v>30</v>
      </c>
      <c r="E119" s="57">
        <v>50</v>
      </c>
      <c r="F119" s="58">
        <v>50</v>
      </c>
      <c r="H119" s="59"/>
    </row>
    <row r="120" spans="3:8" x14ac:dyDescent="0.35">
      <c r="C120" s="52" t="s">
        <v>123</v>
      </c>
      <c r="D120" s="17" t="s">
        <v>30</v>
      </c>
      <c r="E120" s="54">
        <f>E119*E118</f>
        <v>500000</v>
      </c>
      <c r="F120" s="55">
        <f>F119*F118</f>
        <v>500000</v>
      </c>
    </row>
    <row r="121" spans="3:8" ht="15" thickBot="1" x14ac:dyDescent="0.4">
      <c r="C121" s="60" t="s">
        <v>124</v>
      </c>
      <c r="D121" s="61" t="s">
        <v>30</v>
      </c>
      <c r="E121" s="62">
        <f>E120+E117</f>
        <v>-2012419.3450000007</v>
      </c>
      <c r="F121" s="63">
        <f>F120+F117</f>
        <v>-2012419.3450000007</v>
      </c>
    </row>
    <row r="124" spans="3:8" x14ac:dyDescent="0.35">
      <c r="C124" s="64" t="s">
        <v>125</v>
      </c>
      <c r="D124" s="17" t="s">
        <v>30</v>
      </c>
      <c r="E124" s="65">
        <v>50000000</v>
      </c>
      <c r="F124" s="65">
        <v>40000000</v>
      </c>
    </row>
    <row r="125" spans="3:8" x14ac:dyDescent="0.35">
      <c r="C125" s="64" t="s">
        <v>126</v>
      </c>
      <c r="D125" s="17" t="s">
        <v>127</v>
      </c>
      <c r="E125" s="66">
        <f>E124/E121</f>
        <v>-24.845716239127082</v>
      </c>
      <c r="F125" s="66">
        <f>F124/F121</f>
        <v>-19.876572991301664</v>
      </c>
    </row>
    <row r="126" spans="3:8" x14ac:dyDescent="0.35">
      <c r="C126" s="64" t="s">
        <v>128</v>
      </c>
      <c r="D126" s="17" t="s">
        <v>129</v>
      </c>
      <c r="E126" s="67">
        <v>0.1</v>
      </c>
      <c r="F126" s="67">
        <v>0.1</v>
      </c>
    </row>
    <row r="127" spans="3:8" x14ac:dyDescent="0.35">
      <c r="C127" s="188" t="s">
        <v>130</v>
      </c>
      <c r="D127" s="17" t="s">
        <v>131</v>
      </c>
      <c r="E127" s="68">
        <f>-1*E124</f>
        <v>-50000000</v>
      </c>
      <c r="F127" s="68">
        <f>-1*F124</f>
        <v>-40000000</v>
      </c>
    </row>
    <row r="128" spans="3:8" x14ac:dyDescent="0.35">
      <c r="C128" s="188"/>
      <c r="D128" s="17" t="s">
        <v>132</v>
      </c>
      <c r="E128" s="68">
        <f>$E$121</f>
        <v>-2012419.3450000007</v>
      </c>
      <c r="F128" s="68">
        <f>$F$121</f>
        <v>-2012419.3450000007</v>
      </c>
    </row>
    <row r="129" spans="3:9" x14ac:dyDescent="0.35">
      <c r="C129" s="188"/>
      <c r="D129" s="17" t="s">
        <v>133</v>
      </c>
      <c r="E129" s="68">
        <f>E128</f>
        <v>-2012419.3450000007</v>
      </c>
      <c r="F129" s="68">
        <f>F128</f>
        <v>-2012419.3450000007</v>
      </c>
    </row>
    <row r="130" spans="3:9" x14ac:dyDescent="0.35">
      <c r="C130" s="188"/>
      <c r="D130" s="17" t="s">
        <v>134</v>
      </c>
      <c r="E130" s="68">
        <f t="shared" ref="E130:F137" si="0">E129</f>
        <v>-2012419.3450000007</v>
      </c>
      <c r="F130" s="68">
        <f t="shared" si="0"/>
        <v>-2012419.3450000007</v>
      </c>
    </row>
    <row r="131" spans="3:9" x14ac:dyDescent="0.35">
      <c r="C131" s="188"/>
      <c r="D131" s="17" t="s">
        <v>135</v>
      </c>
      <c r="E131" s="68">
        <f t="shared" si="0"/>
        <v>-2012419.3450000007</v>
      </c>
      <c r="F131" s="68">
        <f t="shared" si="0"/>
        <v>-2012419.3450000007</v>
      </c>
    </row>
    <row r="132" spans="3:9" x14ac:dyDescent="0.35">
      <c r="C132" s="188"/>
      <c r="D132" s="17" t="s">
        <v>136</v>
      </c>
      <c r="E132" s="68">
        <f t="shared" si="0"/>
        <v>-2012419.3450000007</v>
      </c>
      <c r="F132" s="68">
        <f t="shared" si="0"/>
        <v>-2012419.3450000007</v>
      </c>
    </row>
    <row r="133" spans="3:9" x14ac:dyDescent="0.35">
      <c r="C133" s="188"/>
      <c r="D133" s="17" t="s">
        <v>137</v>
      </c>
      <c r="E133" s="68">
        <f t="shared" si="0"/>
        <v>-2012419.3450000007</v>
      </c>
      <c r="F133" s="68">
        <f t="shared" si="0"/>
        <v>-2012419.3450000007</v>
      </c>
    </row>
    <row r="134" spans="3:9" x14ac:dyDescent="0.35">
      <c r="C134" s="188"/>
      <c r="D134" s="17" t="s">
        <v>138</v>
      </c>
      <c r="E134" s="68">
        <f t="shared" si="0"/>
        <v>-2012419.3450000007</v>
      </c>
      <c r="F134" s="68">
        <f t="shared" si="0"/>
        <v>-2012419.3450000007</v>
      </c>
    </row>
    <row r="135" spans="3:9" x14ac:dyDescent="0.35">
      <c r="C135" s="188"/>
      <c r="D135" s="17" t="s">
        <v>139</v>
      </c>
      <c r="E135" s="68">
        <f t="shared" si="0"/>
        <v>-2012419.3450000007</v>
      </c>
      <c r="F135" s="68">
        <f t="shared" si="0"/>
        <v>-2012419.3450000007</v>
      </c>
    </row>
    <row r="136" spans="3:9" x14ac:dyDescent="0.35">
      <c r="C136" s="188"/>
      <c r="D136" s="17" t="s">
        <v>140</v>
      </c>
      <c r="E136" s="68">
        <f t="shared" si="0"/>
        <v>-2012419.3450000007</v>
      </c>
      <c r="F136" s="68">
        <f t="shared" si="0"/>
        <v>-2012419.3450000007</v>
      </c>
      <c r="I136" t="s">
        <v>141</v>
      </c>
    </row>
    <row r="137" spans="3:9" x14ac:dyDescent="0.35">
      <c r="C137" s="188"/>
      <c r="D137" s="17" t="s">
        <v>142</v>
      </c>
      <c r="E137" s="68">
        <f t="shared" si="0"/>
        <v>-2012419.3450000007</v>
      </c>
      <c r="F137" s="68">
        <f t="shared" si="0"/>
        <v>-2012419.3450000007</v>
      </c>
      <c r="G137" t="s">
        <v>141</v>
      </c>
    </row>
    <row r="138" spans="3:9" x14ac:dyDescent="0.35">
      <c r="C138" s="64" t="s">
        <v>143</v>
      </c>
      <c r="D138" s="69" t="s">
        <v>28</v>
      </c>
      <c r="E138" s="25" t="e">
        <f>IRR(E127:E137)</f>
        <v>#NUM!</v>
      </c>
      <c r="F138" s="25" t="e">
        <f>IRR(F127:F137)</f>
        <v>#NUM!</v>
      </c>
    </row>
    <row r="139" spans="3:9" x14ac:dyDescent="0.35">
      <c r="C139" s="64" t="s">
        <v>144</v>
      </c>
      <c r="D139" s="69" t="s">
        <v>30</v>
      </c>
      <c r="E139" s="70">
        <f>NPV($F$126,E127:E137)</f>
        <v>-56695859.73651886</v>
      </c>
      <c r="F139" s="70">
        <f>NPV($F$126,F127:F137)</f>
        <v>-47604950.645609774</v>
      </c>
    </row>
    <row r="141" spans="3:9" x14ac:dyDescent="0.35">
      <c r="E141" s="71"/>
      <c r="F141" s="71"/>
    </row>
  </sheetData>
  <dataConsolidate/>
  <mergeCells count="11">
    <mergeCell ref="D76:E76"/>
    <mergeCell ref="C1:E1"/>
    <mergeCell ref="D16:E16"/>
    <mergeCell ref="D38:E38"/>
    <mergeCell ref="D62:E62"/>
    <mergeCell ref="D70:E70"/>
    <mergeCell ref="D80:E80"/>
    <mergeCell ref="D87:E87"/>
    <mergeCell ref="D93:E93"/>
    <mergeCell ref="D99:E99"/>
    <mergeCell ref="C127:C137"/>
  </mergeCells>
  <pageMargins left="0.25" right="0.25" top="0.75" bottom="0.75" header="0.3" footer="0.3"/>
  <pageSetup paperSize="9" scale="71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80d19da-f9e6-4be0-aa3f-21dac85c8c2d" xsi:nil="true"/>
    <lcf76f155ced4ddcb4097134ff3c332f xmlns="43877d2a-b4f6-48dd-93a2-0d8e346ca14a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A6A8B743DAD2364482741675CB3C092D" ma:contentTypeVersion="15" ma:contentTypeDescription="Utwórz nowy dokument." ma:contentTypeScope="" ma:versionID="6162d65d8d5691e143191ff1e4a38256">
  <xsd:schema xmlns:xsd="http://www.w3.org/2001/XMLSchema" xmlns:xs="http://www.w3.org/2001/XMLSchema" xmlns:p="http://schemas.microsoft.com/office/2006/metadata/properties" xmlns:ns2="43877d2a-b4f6-48dd-93a2-0d8e346ca14a" xmlns:ns3="180d19da-f9e6-4be0-aa3f-21dac85c8c2d" targetNamespace="http://schemas.microsoft.com/office/2006/metadata/properties" ma:root="true" ma:fieldsID="79d851096b12b7cf9fadd24ae0894b72" ns2:_="" ns3:_="">
    <xsd:import namespace="43877d2a-b4f6-48dd-93a2-0d8e346ca14a"/>
    <xsd:import namespace="180d19da-f9e6-4be0-aa3f-21dac85c8c2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3877d2a-b4f6-48dd-93a2-0d8e346ca1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Tagi obrazów" ma:readOnly="false" ma:fieldId="{5cf76f15-5ced-4ddc-b409-7134ff3c332f}" ma:taxonomyMulti="true" ma:sspId="2eb049f7-d903-404b-a1f6-5f030539149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80d19da-f9e6-4be0-aa3f-21dac85c8c2d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7578ba48-7b62-496e-b4ee-d984a1baf44d}" ma:internalName="TaxCatchAll" ma:showField="CatchAllData" ma:web="180d19da-f9e6-4be0-aa3f-21dac85c8c2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F4D029F-EAE3-4323-AEB0-1C602184D17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5CF345C-B047-4838-A192-1E044FFEBAAC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CF59B15E-2D55-462F-9F41-F02942948DB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schemat</vt:lpstr>
      <vt:lpstr>Analiza ekonomiczna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Przemysław</dc:creator>
  <cp:lastModifiedBy>Przemysław Seruga</cp:lastModifiedBy>
  <dcterms:created xsi:type="dcterms:W3CDTF">2024-05-24T11:27:45Z</dcterms:created>
  <dcterms:modified xsi:type="dcterms:W3CDTF">2025-05-28T18:49:03Z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0x010100A6A8B743DAD2364482741675CB3C092D</vt:lpwstr>
  </property>
</Properties>
</file>